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Mark Kleyner\Dropbox\Mark\CV and Work Experience\InsideSherpa\Future Impact\Task 3\"/>
    </mc:Choice>
  </mc:AlternateContent>
  <xr:revisionPtr revIDLastSave="0" documentId="13_ncr:1_{80E2EDC5-8172-4620-B5DC-FF4B92567176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AAPL VPT" sheetId="1" r:id="rId1"/>
    <sheet name="Comps Valu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2" l="1"/>
  <c r="B25" i="2"/>
  <c r="O87" i="1"/>
  <c r="P86" i="1"/>
  <c r="O86" i="1"/>
  <c r="O83" i="1"/>
  <c r="O81" i="1"/>
  <c r="O79" i="1"/>
  <c r="O80" i="1"/>
  <c r="O78" i="1"/>
  <c r="O82" i="1"/>
  <c r="T68" i="1"/>
  <c r="T66" i="1"/>
  <c r="O73" i="1"/>
  <c r="S68" i="1"/>
  <c r="R68" i="1"/>
  <c r="Q68" i="1"/>
  <c r="P68" i="1"/>
  <c r="O68" i="1"/>
  <c r="P66" i="1"/>
  <c r="Q66" i="1"/>
  <c r="R66" i="1"/>
  <c r="S66" i="1"/>
  <c r="O66" i="1"/>
  <c r="S63" i="1"/>
  <c r="R63" i="1"/>
  <c r="Q63" i="1"/>
  <c r="P63" i="1"/>
  <c r="O63" i="1"/>
  <c r="S64" i="1"/>
  <c r="R64" i="1"/>
  <c r="Q64" i="1"/>
  <c r="P64" i="1"/>
  <c r="O64" i="1"/>
  <c r="B91" i="1"/>
  <c r="B87" i="1"/>
  <c r="B85" i="1"/>
  <c r="B86" i="1" s="1"/>
  <c r="B78" i="1"/>
  <c r="B80" i="1" s="1"/>
  <c r="B71" i="1"/>
  <c r="B24" i="2"/>
  <c r="B26" i="2" s="1"/>
  <c r="D23" i="2"/>
  <c r="E23" i="2"/>
  <c r="C23" i="2"/>
  <c r="B23" i="2" s="1"/>
  <c r="C20" i="2"/>
  <c r="D20" i="2"/>
  <c r="C21" i="2"/>
  <c r="D21" i="2"/>
  <c r="E21" i="2"/>
  <c r="E20" i="2"/>
  <c r="B88" i="1" l="1"/>
  <c r="B93" i="1" s="1"/>
  <c r="O67" i="1" s="1"/>
  <c r="B28" i="2"/>
  <c r="B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Kleyner</author>
  </authors>
  <commentList>
    <comment ref="T66" authorId="0" shapeId="0" xr:uid="{E46E893B-521F-48EF-9794-719A5A8013B6}">
      <text>
        <r>
          <rPr>
            <b/>
            <sz val="9"/>
            <color indexed="81"/>
            <rFont val="Tahoma"/>
            <charset val="1"/>
          </rPr>
          <t>Mark Kleyner:</t>
        </r>
        <r>
          <rPr>
            <sz val="9"/>
            <color indexed="81"/>
            <rFont val="Tahoma"/>
            <charset val="1"/>
          </rPr>
          <t xml:space="preserve">
Used perpetual growth model</t>
        </r>
      </text>
    </comment>
    <comment ref="T68" authorId="0" shapeId="0" xr:uid="{30BAAC27-5296-4817-AFAE-B4061850B59E}">
      <text>
        <r>
          <rPr>
            <b/>
            <sz val="9"/>
            <color indexed="81"/>
            <rFont val="Tahoma"/>
            <charset val="1"/>
          </rPr>
          <t>Mark Kleyner:</t>
        </r>
        <r>
          <rPr>
            <sz val="9"/>
            <color indexed="81"/>
            <rFont val="Tahoma"/>
            <charset val="1"/>
          </rPr>
          <t xml:space="preserve">
Used perpetual growth model</t>
        </r>
      </text>
    </comment>
    <comment ref="B74" authorId="0" shapeId="0" xr:uid="{7B9365E4-7EF6-4DE4-BBD9-3C83042F2C82}">
      <text>
        <r>
          <rPr>
            <b/>
            <sz val="9"/>
            <color indexed="81"/>
            <rFont val="Tahoma"/>
            <family val="2"/>
          </rPr>
          <t>Mark Kleyner:</t>
        </r>
        <r>
          <rPr>
            <sz val="9"/>
            <color indexed="81"/>
            <rFont val="Tahoma"/>
            <family val="2"/>
          </rPr>
          <t xml:space="preserve">
https://ycharts.com/indicators/10_year_treasury_rate</t>
        </r>
      </text>
    </comment>
    <comment ref="H77" authorId="0" shapeId="0" xr:uid="{6B7DC632-9D2E-4507-AB82-28FD8DEC03D8}">
      <text>
        <r>
          <rPr>
            <b/>
            <sz val="9"/>
            <color indexed="81"/>
            <rFont val="Tahoma"/>
            <family val="2"/>
          </rPr>
          <t>Mark Kleyner:</t>
        </r>
        <r>
          <rPr>
            <sz val="9"/>
            <color indexed="81"/>
            <rFont val="Tahoma"/>
            <family val="2"/>
          </rPr>
          <t xml:space="preserve">
https://finbox.com/NASDAQGS:AAPL/explorer/beta
</t>
        </r>
      </text>
    </comment>
    <comment ref="B82" authorId="0" shapeId="0" xr:uid="{E0DF8D38-1190-4A72-B562-1319C87A9624}">
      <text>
        <r>
          <rPr>
            <b/>
            <sz val="9"/>
            <color indexed="81"/>
            <rFont val="Tahoma"/>
            <family val="2"/>
          </rPr>
          <t>Mark Kleyner:</t>
        </r>
        <r>
          <rPr>
            <sz val="9"/>
            <color indexed="81"/>
            <rFont val="Tahoma"/>
            <family val="2"/>
          </rPr>
          <t xml:space="preserve">
https://finbox.com/NASDAQGS:AAPL/explorer/cost_equity</t>
        </r>
      </text>
    </comment>
    <comment ref="B83" authorId="0" shapeId="0" xr:uid="{500E6DFE-D489-4F5F-AA6F-DD061979A2C8}">
      <text>
        <r>
          <rPr>
            <b/>
            <sz val="9"/>
            <color indexed="81"/>
            <rFont val="Tahoma"/>
            <family val="2"/>
          </rPr>
          <t>Mark Kleyner:</t>
        </r>
        <r>
          <rPr>
            <sz val="9"/>
            <color indexed="81"/>
            <rFont val="Tahoma"/>
            <family val="2"/>
          </rPr>
          <t xml:space="preserve">
https://finbox.com/NASDAQGS:AAPL/explorer/cost_debt_aftax</t>
        </r>
      </text>
    </comment>
    <comment ref="O84" authorId="0" shapeId="0" xr:uid="{56786C7C-9252-49C9-BA03-BF8CE73E4C22}">
      <text>
        <r>
          <rPr>
            <b/>
            <sz val="9"/>
            <color indexed="81"/>
            <rFont val="Tahoma"/>
            <family val="2"/>
          </rPr>
          <t>Mark Kleyner:</t>
        </r>
        <r>
          <rPr>
            <sz val="9"/>
            <color indexed="81"/>
            <rFont val="Tahoma"/>
            <family val="2"/>
          </rPr>
          <t xml:space="preserve">
At close: 4:00PM EDT on 01/05/2020</t>
        </r>
      </text>
    </comment>
  </commentList>
</comments>
</file>

<file path=xl/sharedStrings.xml><?xml version="1.0" encoding="utf-8"?>
<sst xmlns="http://schemas.openxmlformats.org/spreadsheetml/2006/main" count="158" uniqueCount="134">
  <si>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</si>
  <si>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</si>
  <si>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</si>
  <si>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</si>
  <si>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</si>
  <si>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</si>
  <si>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</si>
  <si>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</si>
  <si>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</si>
  <si>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</si>
  <si>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FY2020E</t>
  </si>
  <si>
    <t>FY2021E</t>
  </si>
  <si>
    <t>FY2022E</t>
  </si>
  <si>
    <t>FY2023E</t>
  </si>
  <si>
    <t>FY2024E</t>
  </si>
  <si>
    <t>Pre-FY-End Change</t>
  </si>
  <si>
    <t>Stock Price (USD)</t>
  </si>
  <si>
    <t>Market Cap (USD)</t>
  </si>
  <si>
    <t>AAPL Share Price</t>
  </si>
  <si>
    <t>AAPL Shares</t>
  </si>
  <si>
    <t>Total Debt (USD)</t>
  </si>
  <si>
    <t>Short-Term Debt and Long-Term Debt (Current) (USD)</t>
  </si>
  <si>
    <t>Capital Lease Obligations (USD)</t>
  </si>
  <si>
    <t>Long-Term Debt Ex Capital Leases (USD)</t>
  </si>
  <si>
    <t>Cash and Short-term Investments (USD)</t>
  </si>
  <si>
    <t>Cash and Cash Equivalents (USD)</t>
  </si>
  <si>
    <t>Short-Term Investments (USD)</t>
  </si>
  <si>
    <t>Other Debt/(Cash) Items (USD)</t>
  </si>
  <si>
    <t>Net Debt (USD)</t>
  </si>
  <si>
    <t>Minority Interest &amp; Preferred Shares (USD)</t>
  </si>
  <si>
    <t>Preferred Shares (USD)</t>
  </si>
  <si>
    <t>Enterprise Value (USD)</t>
  </si>
  <si>
    <t>Total Shares Outstanding</t>
  </si>
  <si>
    <t>Valuation Metrics</t>
  </si>
  <si>
    <t>EV/Sales</t>
  </si>
  <si>
    <t>EV/Gross Profit</t>
  </si>
  <si>
    <t>EV/EBIT</t>
  </si>
  <si>
    <t>EV/EBITDA</t>
  </si>
  <si>
    <t>EV/(EBITDA-Capex)</t>
  </si>
  <si>
    <t>P/E</t>
  </si>
  <si>
    <t>P/B</t>
  </si>
  <si>
    <t>P/TB</t>
  </si>
  <si>
    <t>FCF Yield (based on Market Cap)</t>
  </si>
  <si>
    <t>Financial Summary</t>
  </si>
  <si>
    <t>Total Revenue</t>
  </si>
  <si>
    <t>YoY Growth (%)</t>
  </si>
  <si>
    <t>Gross Profit</t>
  </si>
  <si>
    <t>Gross Margin (%)</t>
  </si>
  <si>
    <t>EBIT - Adjusted</t>
  </si>
  <si>
    <t>EBIT Margin - Adjusted (%)</t>
  </si>
  <si>
    <t>EBITDA - Adjusted</t>
  </si>
  <si>
    <t>EBITDA Margin - Adjusted (%)</t>
  </si>
  <si>
    <t>Diluted EPS - Adjusted</t>
  </si>
  <si>
    <t>Book Value per share</t>
  </si>
  <si>
    <t>Tangible Book Value per share</t>
  </si>
  <si>
    <t>FCF Per Share</t>
  </si>
  <si>
    <t>Dividend Per Share</t>
  </si>
  <si>
    <t>Return on Equity (ROE)</t>
  </si>
  <si>
    <t>Return on Assets (ROA)</t>
  </si>
  <si>
    <t>Return on Invested Capital (ROIC)</t>
  </si>
  <si>
    <t>Name</t>
  </si>
  <si>
    <t>Weighed Average Multiples</t>
  </si>
  <si>
    <t>Weighted Average Multiples by Mean (Arithmetic)</t>
  </si>
  <si>
    <t>Valuation based on a rule of three with KPIs for similar companies to Apple</t>
  </si>
  <si>
    <t>EV/EBITDA Multiple (x)</t>
  </si>
  <si>
    <t>EV/EBIT Multiple (x)</t>
  </si>
  <si>
    <t>Latest Valuation</t>
  </si>
  <si>
    <t>EV/Revenue Multiple (x)</t>
  </si>
  <si>
    <t>Hewlett Packard Enterprise Company (NYSE:HPE)</t>
  </si>
  <si>
    <t>HP Inc. (NYSE:HPQ)</t>
  </si>
  <si>
    <t>Dell Technologies Inc. (NYSE:DELL)</t>
  </si>
  <si>
    <t>Western Digital Corporation (NasdaqGS:WDC)</t>
  </si>
  <si>
    <t>Samsung Electronics Co., Ltd. (KOSE:A005930)</t>
  </si>
  <si>
    <t>Microsoft Corporation (NasdaqGS:MSFT)</t>
  </si>
  <si>
    <t>Sonim Technologies, Inc. (NasdaqGM:SONM)</t>
  </si>
  <si>
    <t>NetApp, Inc. (NasdaqGS:NTAP)</t>
  </si>
  <si>
    <t>QUALCOMM Incorporated (NasdaqGS:QCOM)</t>
  </si>
  <si>
    <t>Pure Storage, Inc. (NYSE:PSTG)</t>
  </si>
  <si>
    <t>NM</t>
  </si>
  <si>
    <t>Nokia Corporation (HLSE:NOKIA)</t>
  </si>
  <si>
    <t>Estimate Values of Apple</t>
  </si>
  <si>
    <t>EV/Revenue Valuation</t>
  </si>
  <si>
    <t>EV/EBITDA Valuation</t>
  </si>
  <si>
    <t>EV/EBIT Valuation</t>
  </si>
  <si>
    <t>Apple Actual Multiples</t>
  </si>
  <si>
    <t>Apple Absolute Values</t>
  </si>
  <si>
    <t>Average Comparables Valuation of Apple</t>
  </si>
  <si>
    <t>Current Valuation of Apple</t>
  </si>
  <si>
    <t>Status:</t>
  </si>
  <si>
    <t>Action Recommendation:</t>
  </si>
  <si>
    <t>WACC</t>
  </si>
  <si>
    <t>Total Capital = Debt + Equity WACC = (Equity / Total Capital) * CoE + (Debt / Total Capital) * CoD * (1 - Tax Rate)</t>
  </si>
  <si>
    <t>CoD = Cost of Debt</t>
  </si>
  <si>
    <t>CoE = Cost of Equity</t>
  </si>
  <si>
    <t>Total Debt</t>
  </si>
  <si>
    <t xml:space="preserve">Total Shareholder Equity </t>
  </si>
  <si>
    <t>Long-Term Debt</t>
  </si>
  <si>
    <t xml:space="preserve">Total Capital </t>
  </si>
  <si>
    <t>Cost of Equity</t>
  </si>
  <si>
    <t>Cost of Debt</t>
  </si>
  <si>
    <t>Risk Free Rate</t>
  </si>
  <si>
    <t>Beta</t>
  </si>
  <si>
    <t>Equity Risk Premium</t>
  </si>
  <si>
    <t>Apple Inc.'s Beta (5 Year) of 1.17 ranks in the 51.0% percentile for the sector</t>
  </si>
  <si>
    <t>Beta Finbox Estimate</t>
  </si>
  <si>
    <t>Beta Zacks Estimate</t>
  </si>
  <si>
    <t>Beta CNBC Estimate</t>
  </si>
  <si>
    <t>Expected Return</t>
  </si>
  <si>
    <t>Total Equity</t>
  </si>
  <si>
    <t>Market value total equity/Total market value of the company’s combined debt and equity</t>
  </si>
  <si>
    <t>Market value total equity/Total market value of the company’s combined debt and equity * Cost of Equity</t>
  </si>
  <si>
    <t>Market value total debt/Total market value of the company’s combined debt and equity * Cost of Debt</t>
  </si>
  <si>
    <t>Tax Rate</t>
  </si>
  <si>
    <t>1-Tax Rate</t>
  </si>
  <si>
    <t>Discounted Cash Flow Model</t>
  </si>
  <si>
    <t>Period</t>
  </si>
  <si>
    <t>Cash Flows Per Share</t>
  </si>
  <si>
    <t>Discount Rate</t>
  </si>
  <si>
    <t>Shares Outstanding</t>
  </si>
  <si>
    <t>Sum of Present Values</t>
  </si>
  <si>
    <t>Terminal Growth</t>
  </si>
  <si>
    <t>Terminal Value</t>
  </si>
  <si>
    <t>FCF</t>
  </si>
  <si>
    <t>NPV of Cash Flow</t>
  </si>
  <si>
    <t>Minus Debt</t>
  </si>
  <si>
    <t>Add Cash</t>
  </si>
  <si>
    <t>Number of Shares</t>
  </si>
  <si>
    <t>Valuation</t>
  </si>
  <si>
    <t>Value of Company</t>
  </si>
  <si>
    <t>Actual Valuation</t>
  </si>
  <si>
    <t>Status</t>
  </si>
  <si>
    <t>Action</t>
  </si>
  <si>
    <t>Per Share Average Comparable Valuation</t>
  </si>
  <si>
    <t>Per Share Actual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</si>
</sst>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mmm\ dd\,\ yyyy_);\(mmm\ dd\,\ yyyy\)"/>
    <numFmt numFmtId="165" formatCode="#,##0&quot;M&quot;_);\(#,##0&quot;M&quot;\)"/>
    <numFmt numFmtId="166" formatCode="#,##0.0&quot;x&quot;_);\(#,##0.0&quot;x&quot;\)"/>
    <numFmt numFmtId="167" formatCode="#,##0.00&quot;%&quot;_);\(#,##0.00&quot;%&quot;\)"/>
    <numFmt numFmtId="169" formatCode="_-[$$-409]* #,##0_ ;_-[$$-409]* \-#,##0\ ;_-[$$-409]* &quot;-&quot;_ ;_-@_ "/>
    <numFmt numFmtId="174" formatCode="[$$-409]#,##0"/>
    <numFmt numFmtId="175" formatCode="[$$-409]#,##0_ ;\-[$$-409]#,##0\ "/>
    <numFmt numFmtId="178" formatCode="#,##0.0_ ;\-#,##0.0\ "/>
    <numFmt numFmtId="179" formatCode="0.0%"/>
    <numFmt numFmtId="180" formatCode="[$$-409]#,##0.00_ ;\-[$$-409]#,##0.00\ "/>
  </numFmts>
  <fonts count="15" x14ac:knownFonts="1">
    <font>
      <sz val="11"/>
      <color theme="1"/>
      <name val="Calibri"/>
      <family val="2"/>
      <scheme val="minor"/>
    </font>
    <font>
      <sz val="10"/>
      <color rgb="FF514545"/>
      <name val="Arial"/>
    </font>
    <font>
      <sz val="8"/>
      <color rgb="FF514545"/>
      <name val="Arial"/>
    </font>
    <font>
      <sz val="10"/>
      <color rgb="FF5488C1"/>
      <name val="Arial"/>
    </font>
    <font>
      <b/>
      <sz val="10"/>
      <color rgb="FF514545"/>
      <name val="Arial"/>
    </font>
    <font>
      <b/>
      <sz val="16"/>
      <color rgb="FF514545"/>
      <name val="Arial"/>
    </font>
    <font>
      <i/>
      <sz val="10"/>
      <color rgb="FF514545"/>
      <name val="Arial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0"/>
      <color rgb="FF514545"/>
      <name val="Arial"/>
      <family val="2"/>
    </font>
    <font>
      <sz val="11"/>
      <color theme="1"/>
      <name val="Avenir Next LT Pro"/>
      <family val="2"/>
    </font>
    <font>
      <b/>
      <sz val="11"/>
      <color theme="1"/>
      <name val="Avenir Next LT Pro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EFF5FB"/>
        <bgColor rgb="FFEFF5FB"/>
      </patternFill>
    </fill>
    <fill>
      <patternFill patternType="solid">
        <fgColor rgb="FFE8EBEF"/>
        <bgColor rgb="FFE8EBEF"/>
      </patternFill>
    </fill>
    <fill>
      <patternFill patternType="solid">
        <fgColor rgb="FFC9E4EE"/>
        <bgColor rgb="FFC9E4EE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FF"/>
      </left>
      <right/>
      <top/>
      <bottom/>
      <diagonal/>
    </border>
    <border>
      <left style="thick">
        <color rgb="FF0000FF"/>
      </left>
      <right/>
      <top style="thin">
        <color rgb="FF000000"/>
      </top>
      <bottom/>
      <diagonal/>
    </border>
    <border>
      <left style="thick">
        <color rgb="FF0000FF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FF"/>
      </right>
      <top/>
      <bottom/>
      <diagonal/>
    </border>
    <border>
      <left/>
      <right style="thick">
        <color rgb="FF0000FF"/>
      </right>
      <top style="thin">
        <color rgb="FF000000"/>
      </top>
      <bottom/>
      <diagonal/>
    </border>
    <border>
      <left/>
      <right style="thick">
        <color rgb="FF0000FF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FF"/>
      </top>
      <bottom/>
      <diagonal/>
    </border>
    <border>
      <left/>
      <right/>
      <top/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1" xfId="0" applyFont="1" applyBorder="1"/>
    <xf numFmtId="0" fontId="1" fillId="0" borderId="9" xfId="0" applyFont="1" applyBorder="1"/>
    <xf numFmtId="0" fontId="1" fillId="0" borderId="12" xfId="0" applyFont="1" applyBorder="1"/>
    <xf numFmtId="0" fontId="2" fillId="0" borderId="3" xfId="0" applyFont="1" applyBorder="1"/>
    <xf numFmtId="164" fontId="2" fillId="0" borderId="0" xfId="0" applyNumberFormat="1" applyFont="1"/>
    <xf numFmtId="164" fontId="2" fillId="0" borderId="6" xfId="0" applyNumberFormat="1" applyFont="1" applyBorder="1"/>
    <xf numFmtId="0" fontId="1" fillId="0" borderId="3" xfId="0" applyFont="1" applyBorder="1"/>
    <xf numFmtId="0" fontId="1" fillId="0" borderId="0" xfId="0" applyFont="1"/>
    <xf numFmtId="0" fontId="1" fillId="0" borderId="6" xfId="0" applyFont="1" applyBorder="1"/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0" borderId="5" xfId="0" applyFont="1" applyBorder="1"/>
    <xf numFmtId="0" fontId="3" fillId="0" borderId="2" xfId="0" applyFont="1" applyBorder="1"/>
    <xf numFmtId="0" fontId="3" fillId="2" borderId="2" xfId="0" applyFont="1" applyFill="1" applyBorder="1"/>
    <xf numFmtId="0" fontId="3" fillId="2" borderId="8" xfId="0" applyFont="1" applyFill="1" applyBorder="1"/>
    <xf numFmtId="165" fontId="4" fillId="3" borderId="1" xfId="0" applyNumberFormat="1" applyFont="1" applyFill="1" applyBorder="1" applyAlignment="1">
      <alignment horizontal="right"/>
    </xf>
    <xf numFmtId="165" fontId="4" fillId="3" borderId="7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left" indent="1"/>
    </xf>
    <xf numFmtId="0" fontId="1" fillId="0" borderId="3" xfId="0" applyFont="1" applyBorder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2" borderId="0" xfId="0" applyNumberFormat="1" applyFont="1" applyFill="1" applyAlignment="1">
      <alignment horizontal="right"/>
    </xf>
    <xf numFmtId="37" fontId="1" fillId="2" borderId="6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37" fontId="4" fillId="3" borderId="1" xfId="0" applyNumberFormat="1" applyFont="1" applyFill="1" applyBorder="1" applyAlignment="1">
      <alignment horizontal="right"/>
    </xf>
    <xf numFmtId="37" fontId="4" fillId="3" borderId="7" xfId="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167" fontId="1" fillId="0" borderId="0" xfId="0" applyNumberFormat="1" applyFont="1" applyAlignment="1">
      <alignment horizontal="right"/>
    </xf>
    <xf numFmtId="167" fontId="3" fillId="2" borderId="0" xfId="0" applyNumberFormat="1" applyFont="1" applyFill="1" applyAlignment="1">
      <alignment horizontal="right"/>
    </xf>
    <xf numFmtId="167" fontId="3" fillId="2" borderId="6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left"/>
    </xf>
    <xf numFmtId="167" fontId="6" fillId="0" borderId="0" xfId="0" applyNumberFormat="1" applyFont="1" applyAlignment="1">
      <alignment horizontal="right"/>
    </xf>
    <xf numFmtId="167" fontId="6" fillId="2" borderId="0" xfId="0" applyNumberFormat="1" applyFont="1" applyFill="1" applyAlignment="1">
      <alignment horizontal="right"/>
    </xf>
    <xf numFmtId="167" fontId="6" fillId="2" borderId="6" xfId="0" applyNumberFormat="1" applyFont="1" applyFill="1" applyBorder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2" borderId="0" xfId="0" applyNumberFormat="1" applyFont="1" applyFill="1" applyAlignment="1">
      <alignment horizontal="right"/>
    </xf>
    <xf numFmtId="39" fontId="1" fillId="2" borderId="6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>
      <alignment horizontal="right"/>
    </xf>
    <xf numFmtId="167" fontId="1" fillId="2" borderId="6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left"/>
    </xf>
    <xf numFmtId="167" fontId="1" fillId="0" borderId="10" xfId="0" applyNumberFormat="1" applyFont="1" applyBorder="1" applyAlignment="1">
      <alignment horizontal="right"/>
    </xf>
    <xf numFmtId="167" fontId="1" fillId="2" borderId="10" xfId="0" applyNumberFormat="1" applyFont="1" applyFill="1" applyBorder="1" applyAlignment="1">
      <alignment horizontal="right"/>
    </xf>
    <xf numFmtId="167" fontId="1" fillId="2" borderId="14" xfId="0" applyNumberFormat="1" applyFont="1" applyFill="1" applyBorder="1" applyAlignment="1">
      <alignment horizontal="right"/>
    </xf>
    <xf numFmtId="0" fontId="7" fillId="5" borderId="15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7" fillId="0" borderId="0" xfId="0" applyFont="1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0" fontId="0" fillId="0" borderId="0" xfId="0" applyNumberFormat="1"/>
    <xf numFmtId="3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" fontId="0" fillId="0" borderId="0" xfId="0" applyNumberFormat="1"/>
    <xf numFmtId="3" fontId="0" fillId="0" borderId="0" xfId="0" applyNumberFormat="1"/>
    <xf numFmtId="166" fontId="1" fillId="0" borderId="15" xfId="0" applyNumberFormat="1" applyFont="1" applyBorder="1" applyAlignment="1">
      <alignment horizontal="right"/>
    </xf>
    <xf numFmtId="169" fontId="0" fillId="0" borderId="15" xfId="0" applyNumberFormat="1" applyFon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6" fontId="11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174" fontId="0" fillId="0" borderId="0" xfId="0" applyNumberFormat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0" xfId="0" applyNumberFormat="1"/>
    <xf numFmtId="175" fontId="0" fillId="0" borderId="0" xfId="0" applyNumberFormat="1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37" fontId="13" fillId="0" borderId="0" xfId="0" applyNumberFormat="1" applyFont="1"/>
    <xf numFmtId="0" fontId="12" fillId="0" borderId="0" xfId="0" applyFont="1"/>
    <xf numFmtId="4" fontId="12" fillId="0" borderId="0" xfId="0" applyNumberFormat="1" applyFont="1"/>
    <xf numFmtId="3" fontId="12" fillId="0" borderId="0" xfId="0" applyNumberFormat="1" applyFont="1"/>
    <xf numFmtId="10" fontId="12" fillId="0" borderId="0" xfId="0" applyNumberFormat="1" applyFont="1"/>
    <xf numFmtId="10" fontId="13" fillId="0" borderId="0" xfId="0" applyNumberFormat="1" applyFont="1"/>
    <xf numFmtId="2" fontId="12" fillId="0" borderId="0" xfId="0" applyNumberFormat="1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37" fontId="12" fillId="0" borderId="0" xfId="0" applyNumberFormat="1" applyFont="1"/>
    <xf numFmtId="178" fontId="13" fillId="0" borderId="0" xfId="0" applyNumberFormat="1" applyFont="1"/>
    <xf numFmtId="179" fontId="13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u val="none"/>
        <color theme="0"/>
      </font>
      <numFmt numFmtId="30" formatCode="@"/>
      <fill>
        <patternFill patternType="solid"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9725" cy="4953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twoCellAnchor editAs="oneCell">
    <xdr:from>
      <xdr:col>2</xdr:col>
      <xdr:colOff>363682</xdr:colOff>
      <xdr:row>65</xdr:row>
      <xdr:rowOff>130796</xdr:rowOff>
    </xdr:from>
    <xdr:to>
      <xdr:col>6</xdr:col>
      <xdr:colOff>277093</xdr:colOff>
      <xdr:row>78</xdr:row>
      <xdr:rowOff>76686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5741CA-016E-4148-B1ED-79A21D2DE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8591" y="12651841"/>
          <a:ext cx="2770910" cy="2309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3"/>
  <sheetViews>
    <sheetView showGridLines="0" tabSelected="1" topLeftCell="A67" zoomScale="70" zoomScaleNormal="70" zoomScaleSheetLayoutView="100" workbookViewId="0">
      <pane xSplit="1" topLeftCell="M1" activePane="topRight" state="frozen"/>
      <selection activeCell="A37" sqref="A37"/>
      <selection pane="topRight" activeCell="O86" sqref="O86"/>
    </sheetView>
  </sheetViews>
  <sheetFormatPr defaultColWidth="8.796875" defaultRowHeight="14.25" outlineLevelCol="2" x14ac:dyDescent="0.45"/>
  <cols>
    <col min="1" max="1" width="44.46484375" bestFit="1" customWidth="1"/>
    <col min="2" max="2" width="20.796875" bestFit="1" customWidth="1" outlineLevel="1"/>
    <col min="3" max="5" width="10.1328125" bestFit="1" customWidth="1" outlineLevel="1"/>
    <col min="6" max="6" width="9.46484375" bestFit="1" customWidth="1"/>
    <col min="7" max="7" width="11" bestFit="1" customWidth="1" outlineLevel="2"/>
    <col min="8" max="8" width="10.1328125" bestFit="1" customWidth="1"/>
    <col min="9" max="9" width="11" bestFit="1" customWidth="1" outlineLevel="2"/>
    <col min="10" max="10" width="10.1328125" bestFit="1" customWidth="1"/>
    <col min="11" max="11" width="11" bestFit="1" customWidth="1" outlineLevel="2"/>
    <col min="12" max="12" width="9.46484375" bestFit="1" customWidth="1"/>
    <col min="13" max="13" width="11" bestFit="1" customWidth="1" outlineLevel="2"/>
    <col min="14" max="14" width="24.6640625" bestFit="1" customWidth="1"/>
    <col min="15" max="15" width="20.796875" bestFit="1" customWidth="1"/>
    <col min="16" max="16" width="13.86328125" customWidth="1"/>
    <col min="17" max="17" width="13.86328125" bestFit="1" customWidth="1"/>
    <col min="18" max="18" width="17.19921875" bestFit="1" customWidth="1"/>
    <col min="19" max="19" width="13.86328125" bestFit="1" customWidth="1"/>
    <col min="20" max="20" width="17" bestFit="1" customWidth="1"/>
    <col min="21" max="21" width="11" bestFit="1" customWidth="1"/>
    <col min="22" max="22" width="17" bestFit="1" customWidth="1"/>
    <col min="23" max="23" width="11" bestFit="1" customWidth="1"/>
    <col min="24" max="24" width="17" bestFit="1" customWidth="1"/>
    <col min="25" max="25" width="11" bestFit="1" customWidth="1"/>
  </cols>
  <sheetData>
    <row r="1" spans="1:25" ht="30" customHeight="1" thickTop="1" x14ac:dyDescent="0.4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</v>
      </c>
      <c r="I1" s="2" t="s">
        <v>6</v>
      </c>
      <c r="J1" s="2" t="s">
        <v>6</v>
      </c>
      <c r="K1" s="2" t="s">
        <v>7</v>
      </c>
      <c r="L1" s="2" t="s">
        <v>7</v>
      </c>
      <c r="M1" s="2" t="s">
        <v>8</v>
      </c>
      <c r="N1" s="2" t="s">
        <v>8</v>
      </c>
      <c r="O1" s="2" t="s">
        <v>9</v>
      </c>
      <c r="P1" s="2" t="s">
        <v>9</v>
      </c>
      <c r="Q1" s="2" t="s">
        <v>10</v>
      </c>
      <c r="R1" s="2" t="s">
        <v>10</v>
      </c>
      <c r="S1" s="2" t="s">
        <v>11</v>
      </c>
      <c r="T1" s="2" t="s">
        <v>11</v>
      </c>
      <c r="U1" s="2" t="s">
        <v>12</v>
      </c>
      <c r="V1" s="2" t="s">
        <v>12</v>
      </c>
      <c r="W1" s="2" t="s">
        <v>13</v>
      </c>
      <c r="X1" s="2" t="s">
        <v>13</v>
      </c>
      <c r="Y1" s="3" t="s">
        <v>14</v>
      </c>
    </row>
    <row r="2" spans="1:25" x14ac:dyDescent="0.45">
      <c r="A2" s="4"/>
      <c r="B2" s="5">
        <v>40451</v>
      </c>
      <c r="C2" s="5">
        <v>40816</v>
      </c>
      <c r="D2" s="5">
        <v>41182</v>
      </c>
      <c r="E2" s="5">
        <v>41547</v>
      </c>
      <c r="F2" s="5">
        <v>41912</v>
      </c>
      <c r="G2" s="5">
        <v>42277</v>
      </c>
      <c r="H2" s="5">
        <v>42277</v>
      </c>
      <c r="I2" s="5">
        <v>42643</v>
      </c>
      <c r="J2" s="5">
        <v>42643</v>
      </c>
      <c r="K2" s="5">
        <v>43008</v>
      </c>
      <c r="L2" s="5">
        <v>43008</v>
      </c>
      <c r="M2" s="5">
        <v>43373</v>
      </c>
      <c r="N2" s="5">
        <v>43373</v>
      </c>
      <c r="O2" s="5">
        <v>43738</v>
      </c>
      <c r="P2" s="5">
        <v>43830</v>
      </c>
      <c r="Q2" s="5">
        <v>44104</v>
      </c>
      <c r="R2" s="5">
        <v>44196</v>
      </c>
      <c r="S2" s="5">
        <v>44469</v>
      </c>
      <c r="T2" s="5">
        <v>44561</v>
      </c>
      <c r="U2" s="5">
        <v>44834</v>
      </c>
      <c r="V2" s="5">
        <v>44926</v>
      </c>
      <c r="W2" s="5">
        <v>45199</v>
      </c>
      <c r="X2" s="5">
        <v>45291</v>
      </c>
      <c r="Y2" s="6">
        <v>45565</v>
      </c>
    </row>
    <row r="3" spans="1:25" x14ac:dyDescent="0.4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15</v>
      </c>
      <c r="S3" s="8"/>
      <c r="T3" s="8" t="s">
        <v>15</v>
      </c>
      <c r="U3" s="8"/>
      <c r="V3" s="8" t="s">
        <v>15</v>
      </c>
      <c r="W3" s="8"/>
      <c r="X3" s="8" t="s">
        <v>15</v>
      </c>
      <c r="Y3" s="9"/>
    </row>
    <row r="4" spans="1:25" x14ac:dyDescent="0.45">
      <c r="A4" s="10" t="s">
        <v>16</v>
      </c>
      <c r="B4" s="11">
        <v>40.535713999999999</v>
      </c>
      <c r="C4" s="11">
        <v>54.474260999999998</v>
      </c>
      <c r="D4" s="11">
        <v>95.300713000000002</v>
      </c>
      <c r="E4" s="11">
        <v>68.107142999999994</v>
      </c>
      <c r="F4" s="11">
        <v>100.75</v>
      </c>
      <c r="G4" s="11">
        <v>110.30001</v>
      </c>
      <c r="H4" s="11">
        <v>110.30001</v>
      </c>
      <c r="I4" s="11">
        <v>113.05001</v>
      </c>
      <c r="J4" s="11">
        <v>113.05001</v>
      </c>
      <c r="K4" s="11">
        <v>154.12</v>
      </c>
      <c r="L4" s="11">
        <v>154.12</v>
      </c>
      <c r="M4" s="11">
        <v>225.74001000000001</v>
      </c>
      <c r="N4" s="11">
        <v>225.74001000000001</v>
      </c>
      <c r="O4" s="11">
        <v>223.97001</v>
      </c>
      <c r="P4" s="11">
        <v>293.64990999999998</v>
      </c>
      <c r="Q4" s="12">
        <v>321.44995999999998</v>
      </c>
      <c r="R4" s="12">
        <v>321.44995999999998</v>
      </c>
      <c r="S4" s="12">
        <v>321.44995999999998</v>
      </c>
      <c r="T4" s="12">
        <v>321.44995999999998</v>
      </c>
      <c r="U4" s="12">
        <v>321.44995999999998</v>
      </c>
      <c r="V4" s="12">
        <v>321.44995999999998</v>
      </c>
      <c r="W4" s="12">
        <v>321.44995999999998</v>
      </c>
      <c r="X4" s="12">
        <v>321.44995999999998</v>
      </c>
      <c r="Y4" s="13">
        <v>321.44995999999998</v>
      </c>
    </row>
    <row r="5" spans="1:25" x14ac:dyDescent="0.4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6"/>
      <c r="S5" s="16"/>
      <c r="T5" s="16"/>
      <c r="U5" s="16"/>
      <c r="V5" s="16"/>
      <c r="W5" s="16"/>
      <c r="X5" s="16"/>
      <c r="Y5" s="17"/>
    </row>
    <row r="6" spans="1:25" x14ac:dyDescent="0.45">
      <c r="A6" s="10" t="s">
        <v>17</v>
      </c>
      <c r="B6" s="18">
        <v>259906.48566800001</v>
      </c>
      <c r="C6" s="18">
        <v>354351.74487499997</v>
      </c>
      <c r="D6" s="18">
        <v>626550.34438699996</v>
      </c>
      <c r="E6" s="18">
        <v>428691.22464099998</v>
      </c>
      <c r="F6" s="18">
        <v>591015.72074999998</v>
      </c>
      <c r="G6" s="18">
        <v>1793289.9287</v>
      </c>
      <c r="H6" s="18">
        <v>615336.51168800006</v>
      </c>
      <c r="I6" s="18">
        <v>1406497.8709799999</v>
      </c>
      <c r="J6" s="18">
        <v>603253.61966199998</v>
      </c>
      <c r="K6" s="18">
        <v>1647817.1063999999</v>
      </c>
      <c r="L6" s="18">
        <v>790050.09811999998</v>
      </c>
      <c r="M6" s="18">
        <v>1528490.0595</v>
      </c>
      <c r="N6" s="18">
        <v>1073390.5871900001</v>
      </c>
      <c r="O6" s="18">
        <v>979976.29935500002</v>
      </c>
      <c r="P6" s="18">
        <v>1284859.3082099999</v>
      </c>
      <c r="Q6" s="18">
        <v>1406497.8709799999</v>
      </c>
      <c r="R6" s="18">
        <v>1406497.8709799999</v>
      </c>
      <c r="S6" s="18">
        <v>1406497.8709799999</v>
      </c>
      <c r="T6" s="18">
        <v>1406497.8709799999</v>
      </c>
      <c r="U6" s="18">
        <v>1406497.8709799999</v>
      </c>
      <c r="V6" s="18">
        <v>1406497.8709799999</v>
      </c>
      <c r="W6" s="18">
        <v>1406497.8709799999</v>
      </c>
      <c r="X6" s="18">
        <v>1406497.8709799999</v>
      </c>
      <c r="Y6" s="19">
        <v>1406497.8709799999</v>
      </c>
    </row>
    <row r="7" spans="1:25" x14ac:dyDescent="0.45">
      <c r="A7" s="20" t="s">
        <v>18</v>
      </c>
      <c r="B7" s="18">
        <v>40.535713999999999</v>
      </c>
      <c r="C7" s="18">
        <v>54.474260999999998</v>
      </c>
      <c r="D7" s="18">
        <v>95.300713000000002</v>
      </c>
      <c r="E7" s="18">
        <v>68.107142999999994</v>
      </c>
      <c r="F7" s="18">
        <v>100.75</v>
      </c>
      <c r="G7" s="18">
        <v>321.44995999999998</v>
      </c>
      <c r="H7" s="18">
        <v>110.30001</v>
      </c>
      <c r="I7" s="18">
        <v>321.44995999999998</v>
      </c>
      <c r="J7" s="18">
        <v>113.05001</v>
      </c>
      <c r="K7" s="18">
        <v>321.44995999999998</v>
      </c>
      <c r="L7" s="18">
        <v>154.12</v>
      </c>
      <c r="M7" s="18">
        <v>321.44995999999998</v>
      </c>
      <c r="N7" s="18">
        <v>225.74001000000001</v>
      </c>
      <c r="O7" s="18">
        <v>223.97001</v>
      </c>
      <c r="P7" s="18">
        <v>293.64990999999998</v>
      </c>
      <c r="Q7" s="18">
        <v>321.44995999999998</v>
      </c>
      <c r="R7" s="18">
        <v>321.44995999999998</v>
      </c>
      <c r="S7" s="18">
        <v>321.44995999999998</v>
      </c>
      <c r="T7" s="18">
        <v>321.44995999999998</v>
      </c>
      <c r="U7" s="18">
        <v>321.44995999999998</v>
      </c>
      <c r="V7" s="18">
        <v>321.44995999999998</v>
      </c>
      <c r="W7" s="18">
        <v>321.44995999999998</v>
      </c>
      <c r="X7" s="18">
        <v>321.44995999999998</v>
      </c>
      <c r="Y7" s="19">
        <v>321.44995999999998</v>
      </c>
    </row>
    <row r="8" spans="1:25" x14ac:dyDescent="0.45">
      <c r="A8" s="20" t="s">
        <v>19</v>
      </c>
      <c r="B8" s="18">
        <v>6411.79</v>
      </c>
      <c r="C8" s="18">
        <v>6504.9390000000003</v>
      </c>
      <c r="D8" s="18">
        <v>6574.4560000000001</v>
      </c>
      <c r="E8" s="18">
        <v>6294.3651099999997</v>
      </c>
      <c r="F8" s="18">
        <v>5866.1610000000001</v>
      </c>
      <c r="G8" s="18">
        <v>5578.7529999999997</v>
      </c>
      <c r="H8" s="18">
        <v>5578.7529999999997</v>
      </c>
      <c r="I8" s="18">
        <v>4375.4799999999996</v>
      </c>
      <c r="J8" s="18">
        <v>5336.1660000000002</v>
      </c>
      <c r="K8" s="18">
        <v>5126.201</v>
      </c>
      <c r="L8" s="18">
        <v>5126.201</v>
      </c>
      <c r="M8" s="18">
        <v>4754.9859999999999</v>
      </c>
      <c r="N8" s="18">
        <v>4754.9859999999999</v>
      </c>
      <c r="O8" s="18">
        <v>4375.4799999999996</v>
      </c>
      <c r="P8" s="18">
        <v>4375.4799999999996</v>
      </c>
      <c r="Q8" s="18">
        <v>4375.4799999999996</v>
      </c>
      <c r="R8" s="18">
        <v>4375.4799999999996</v>
      </c>
      <c r="S8" s="18">
        <v>4375.4799999999996</v>
      </c>
      <c r="T8" s="18">
        <v>4375.4799999999996</v>
      </c>
      <c r="U8" s="18">
        <v>4375.4799999999996</v>
      </c>
      <c r="V8" s="18">
        <v>4375.4799999999996</v>
      </c>
      <c r="W8" s="18">
        <v>4375.4799999999996</v>
      </c>
      <c r="X8" s="18">
        <v>4375.4799999999996</v>
      </c>
      <c r="Y8" s="19">
        <v>4375.4799999999996</v>
      </c>
    </row>
    <row r="9" spans="1:25" x14ac:dyDescent="0.45">
      <c r="A9" s="21" t="s">
        <v>20</v>
      </c>
      <c r="B9" s="22">
        <v>0</v>
      </c>
      <c r="C9" s="22">
        <v>0</v>
      </c>
      <c r="D9" s="22">
        <v>0</v>
      </c>
      <c r="E9" s="22">
        <v>16960</v>
      </c>
      <c r="F9" s="22">
        <v>35295</v>
      </c>
      <c r="G9" s="22">
        <v>64462</v>
      </c>
      <c r="H9" s="22">
        <v>64328</v>
      </c>
      <c r="I9" s="22">
        <v>87032</v>
      </c>
      <c r="J9" s="22">
        <v>87032</v>
      </c>
      <c r="K9" s="22">
        <v>115680</v>
      </c>
      <c r="L9" s="22">
        <v>115680</v>
      </c>
      <c r="M9" s="22">
        <v>114483</v>
      </c>
      <c r="N9" s="22">
        <v>114483</v>
      </c>
      <c r="O9" s="22">
        <v>108047</v>
      </c>
      <c r="P9" s="22"/>
      <c r="Q9" s="23">
        <v>108933</v>
      </c>
      <c r="R9" s="23"/>
      <c r="S9" s="23">
        <v>108933</v>
      </c>
      <c r="T9" s="23"/>
      <c r="U9" s="23">
        <v>108933</v>
      </c>
      <c r="V9" s="23"/>
      <c r="W9" s="23">
        <v>108933</v>
      </c>
      <c r="X9" s="23"/>
      <c r="Y9" s="24">
        <v>108933</v>
      </c>
    </row>
    <row r="10" spans="1:25" x14ac:dyDescent="0.45">
      <c r="A10" s="25" t="s">
        <v>21</v>
      </c>
      <c r="B10" s="22"/>
      <c r="C10" s="22"/>
      <c r="D10" s="22"/>
      <c r="E10" s="22"/>
      <c r="F10" s="22">
        <v>6308</v>
      </c>
      <c r="G10" s="22">
        <v>10999</v>
      </c>
      <c r="H10" s="22">
        <v>10999</v>
      </c>
      <c r="I10" s="22">
        <v>11605</v>
      </c>
      <c r="J10" s="22">
        <v>11605</v>
      </c>
      <c r="K10" s="22">
        <v>18473</v>
      </c>
      <c r="L10" s="22">
        <v>18473</v>
      </c>
      <c r="M10" s="22">
        <v>20748</v>
      </c>
      <c r="N10" s="22">
        <v>20748</v>
      </c>
      <c r="O10" s="22">
        <v>16240</v>
      </c>
      <c r="P10" s="22"/>
      <c r="Q10" s="23">
        <v>15228</v>
      </c>
      <c r="R10" s="23"/>
      <c r="S10" s="23">
        <v>15228</v>
      </c>
      <c r="T10" s="23"/>
      <c r="U10" s="23">
        <v>15228</v>
      </c>
      <c r="V10" s="23"/>
      <c r="W10" s="23">
        <v>15228</v>
      </c>
      <c r="X10" s="23"/>
      <c r="Y10" s="24">
        <v>15228</v>
      </c>
    </row>
    <row r="11" spans="1:25" x14ac:dyDescent="0.45">
      <c r="A11" s="25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>
        <v>627</v>
      </c>
      <c r="R11" s="23"/>
      <c r="S11" s="23">
        <v>627</v>
      </c>
      <c r="T11" s="23"/>
      <c r="U11" s="23">
        <v>627</v>
      </c>
      <c r="V11" s="23"/>
      <c r="W11" s="23">
        <v>627</v>
      </c>
      <c r="X11" s="23"/>
      <c r="Y11" s="24">
        <v>627</v>
      </c>
    </row>
    <row r="12" spans="1:25" x14ac:dyDescent="0.45">
      <c r="A12" s="25" t="s">
        <v>23</v>
      </c>
      <c r="B12" s="22">
        <v>0</v>
      </c>
      <c r="C12" s="22">
        <v>0</v>
      </c>
      <c r="D12" s="22">
        <v>0</v>
      </c>
      <c r="E12" s="22">
        <v>16960</v>
      </c>
      <c r="F12" s="22">
        <v>28987</v>
      </c>
      <c r="G12" s="22">
        <v>53463</v>
      </c>
      <c r="H12" s="22">
        <v>53329</v>
      </c>
      <c r="I12" s="22">
        <v>75427</v>
      </c>
      <c r="J12" s="22">
        <v>75427</v>
      </c>
      <c r="K12" s="22">
        <v>97207</v>
      </c>
      <c r="L12" s="22">
        <v>97207</v>
      </c>
      <c r="M12" s="22">
        <v>93735</v>
      </c>
      <c r="N12" s="22">
        <v>93735</v>
      </c>
      <c r="O12" s="22">
        <v>91807</v>
      </c>
      <c r="P12" s="22"/>
      <c r="Q12" s="23">
        <v>93078</v>
      </c>
      <c r="R12" s="23"/>
      <c r="S12" s="23">
        <v>93078</v>
      </c>
      <c r="T12" s="23"/>
      <c r="U12" s="23">
        <v>93078</v>
      </c>
      <c r="V12" s="23"/>
      <c r="W12" s="23">
        <v>93078</v>
      </c>
      <c r="X12" s="23"/>
      <c r="Y12" s="24">
        <v>93078</v>
      </c>
    </row>
    <row r="13" spans="1:25" x14ac:dyDescent="0.45">
      <c r="A13" s="21" t="s">
        <v>24</v>
      </c>
      <c r="B13" s="22">
        <v>25620</v>
      </c>
      <c r="C13" s="22">
        <v>25952</v>
      </c>
      <c r="D13" s="22">
        <v>29129</v>
      </c>
      <c r="E13" s="22">
        <v>40546</v>
      </c>
      <c r="F13" s="22">
        <v>25077</v>
      </c>
      <c r="G13" s="22">
        <v>41601</v>
      </c>
      <c r="H13" s="22">
        <v>41601</v>
      </c>
      <c r="I13" s="22">
        <v>67155</v>
      </c>
      <c r="J13" s="22">
        <v>67155</v>
      </c>
      <c r="K13" s="22">
        <v>74181</v>
      </c>
      <c r="L13" s="22">
        <v>74181</v>
      </c>
      <c r="M13" s="22">
        <v>66301</v>
      </c>
      <c r="N13" s="22">
        <v>66301</v>
      </c>
      <c r="O13" s="22">
        <v>100557</v>
      </c>
      <c r="P13" s="22"/>
      <c r="Q13" s="23">
        <v>107162</v>
      </c>
      <c r="R13" s="23"/>
      <c r="S13" s="23">
        <v>107162</v>
      </c>
      <c r="T13" s="23"/>
      <c r="U13" s="23">
        <v>107162</v>
      </c>
      <c r="V13" s="23"/>
      <c r="W13" s="23">
        <v>107162</v>
      </c>
      <c r="X13" s="23"/>
      <c r="Y13" s="24">
        <v>107162</v>
      </c>
    </row>
    <row r="14" spans="1:25" x14ac:dyDescent="0.45">
      <c r="A14" s="25" t="s">
        <v>25</v>
      </c>
      <c r="B14" s="22">
        <v>11261</v>
      </c>
      <c r="C14" s="22">
        <v>9815</v>
      </c>
      <c r="D14" s="22">
        <v>10746</v>
      </c>
      <c r="E14" s="22">
        <v>14259</v>
      </c>
      <c r="F14" s="22">
        <v>13844</v>
      </c>
      <c r="G14" s="22">
        <v>21120</v>
      </c>
      <c r="H14" s="22">
        <v>21120</v>
      </c>
      <c r="I14" s="22">
        <v>20484</v>
      </c>
      <c r="J14" s="22">
        <v>20484</v>
      </c>
      <c r="K14" s="22">
        <v>20289</v>
      </c>
      <c r="L14" s="22">
        <v>20289</v>
      </c>
      <c r="M14" s="22">
        <v>25913</v>
      </c>
      <c r="N14" s="22">
        <v>25913</v>
      </c>
      <c r="O14" s="22">
        <v>48844</v>
      </c>
      <c r="P14" s="22"/>
      <c r="Q14" s="23">
        <v>39771</v>
      </c>
      <c r="R14" s="23"/>
      <c r="S14" s="23">
        <v>39771</v>
      </c>
      <c r="T14" s="23"/>
      <c r="U14" s="23">
        <v>39771</v>
      </c>
      <c r="V14" s="23"/>
      <c r="W14" s="23">
        <v>39771</v>
      </c>
      <c r="X14" s="23"/>
      <c r="Y14" s="24">
        <v>39771</v>
      </c>
    </row>
    <row r="15" spans="1:25" x14ac:dyDescent="0.45">
      <c r="A15" s="25" t="s">
        <v>26</v>
      </c>
      <c r="B15" s="22">
        <v>14359</v>
      </c>
      <c r="C15" s="22">
        <v>16137</v>
      </c>
      <c r="D15" s="22">
        <v>18383</v>
      </c>
      <c r="E15" s="22">
        <v>26287</v>
      </c>
      <c r="F15" s="22">
        <v>11233</v>
      </c>
      <c r="G15" s="22">
        <v>20481</v>
      </c>
      <c r="H15" s="22">
        <v>20481</v>
      </c>
      <c r="I15" s="22">
        <v>46671</v>
      </c>
      <c r="J15" s="22">
        <v>46671</v>
      </c>
      <c r="K15" s="22">
        <v>53892</v>
      </c>
      <c r="L15" s="22">
        <v>53892</v>
      </c>
      <c r="M15" s="22">
        <v>40388</v>
      </c>
      <c r="N15" s="22">
        <v>40388</v>
      </c>
      <c r="O15" s="22">
        <v>51713</v>
      </c>
      <c r="P15" s="22"/>
      <c r="Q15" s="23">
        <v>67391</v>
      </c>
      <c r="R15" s="23"/>
      <c r="S15" s="23">
        <v>67391</v>
      </c>
      <c r="T15" s="23"/>
      <c r="U15" s="23">
        <v>67391</v>
      </c>
      <c r="V15" s="23"/>
      <c r="W15" s="23">
        <v>67391</v>
      </c>
      <c r="X15" s="23"/>
      <c r="Y15" s="24">
        <v>67391</v>
      </c>
    </row>
    <row r="16" spans="1:25" x14ac:dyDescent="0.45">
      <c r="A16" s="21" t="s">
        <v>27</v>
      </c>
      <c r="B16" s="22">
        <v>-25391</v>
      </c>
      <c r="C16" s="22">
        <v>-55618</v>
      </c>
      <c r="D16" s="22">
        <v>-92122</v>
      </c>
      <c r="E16" s="22">
        <v>-106215</v>
      </c>
      <c r="F16" s="22">
        <v>-130162</v>
      </c>
      <c r="G16" s="22">
        <v>-164065</v>
      </c>
      <c r="H16" s="22">
        <v>-164065</v>
      </c>
      <c r="I16" s="22">
        <v>-170430</v>
      </c>
      <c r="J16" s="22">
        <v>-170430</v>
      </c>
      <c r="K16" s="22">
        <v>-194714</v>
      </c>
      <c r="L16" s="22">
        <v>-194714</v>
      </c>
      <c r="M16" s="22">
        <v>-170799</v>
      </c>
      <c r="N16" s="22">
        <v>-170799</v>
      </c>
      <c r="O16" s="22">
        <v>-105341</v>
      </c>
      <c r="P16" s="22"/>
      <c r="Q16" s="23">
        <v>-99899</v>
      </c>
      <c r="R16" s="23"/>
      <c r="S16" s="23">
        <v>-99899</v>
      </c>
      <c r="T16" s="23"/>
      <c r="U16" s="23">
        <v>-99899</v>
      </c>
      <c r="V16" s="23"/>
      <c r="W16" s="23">
        <v>-99899</v>
      </c>
      <c r="X16" s="23"/>
      <c r="Y16" s="24">
        <v>-99899</v>
      </c>
    </row>
    <row r="17" spans="1:25" x14ac:dyDescent="0.45">
      <c r="A17" s="10" t="s">
        <v>28</v>
      </c>
      <c r="B17" s="26">
        <v>-51011</v>
      </c>
      <c r="C17" s="26">
        <v>-81570</v>
      </c>
      <c r="D17" s="26">
        <v>-121251</v>
      </c>
      <c r="E17" s="26">
        <v>-129801</v>
      </c>
      <c r="F17" s="26">
        <v>-119944</v>
      </c>
      <c r="G17" s="26">
        <v>-141204</v>
      </c>
      <c r="H17" s="26">
        <v>-141338</v>
      </c>
      <c r="I17" s="26">
        <v>-150553</v>
      </c>
      <c r="J17" s="26">
        <v>-150553</v>
      </c>
      <c r="K17" s="26">
        <v>-153215</v>
      </c>
      <c r="L17" s="26">
        <v>-153215</v>
      </c>
      <c r="M17" s="26">
        <v>-122617</v>
      </c>
      <c r="N17" s="26">
        <v>-122617</v>
      </c>
      <c r="O17" s="26">
        <v>-97851</v>
      </c>
      <c r="P17" s="26"/>
      <c r="Q17" s="26">
        <v>-98128</v>
      </c>
      <c r="R17" s="26"/>
      <c r="S17" s="26">
        <v>-98128</v>
      </c>
      <c r="T17" s="26"/>
      <c r="U17" s="26">
        <v>-98128</v>
      </c>
      <c r="V17" s="26"/>
      <c r="W17" s="26">
        <v>-98128</v>
      </c>
      <c r="X17" s="26"/>
      <c r="Y17" s="27">
        <v>-98128</v>
      </c>
    </row>
    <row r="18" spans="1:25" x14ac:dyDescent="0.45">
      <c r="A18" s="21" t="s">
        <v>29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23"/>
      <c r="S18" s="23"/>
      <c r="T18" s="23"/>
      <c r="U18" s="23"/>
      <c r="V18" s="23"/>
      <c r="W18" s="23"/>
      <c r="X18" s="23"/>
      <c r="Y18" s="24"/>
    </row>
    <row r="19" spans="1:25" x14ac:dyDescent="0.45">
      <c r="A19" s="25" t="s">
        <v>30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  <c r="R19" s="23"/>
      <c r="S19" s="23"/>
      <c r="T19" s="23"/>
      <c r="U19" s="23"/>
      <c r="V19" s="23"/>
      <c r="W19" s="23"/>
      <c r="X19" s="23"/>
      <c r="Y19" s="24"/>
    </row>
    <row r="20" spans="1:25" x14ac:dyDescent="0.45">
      <c r="A20" s="10" t="s">
        <v>31</v>
      </c>
      <c r="B20" s="26">
        <v>208895.48566800001</v>
      </c>
      <c r="C20" s="26">
        <v>272781.74487499997</v>
      </c>
      <c r="D20" s="26">
        <v>505299.34438700002</v>
      </c>
      <c r="E20" s="26">
        <v>298890.22464099998</v>
      </c>
      <c r="F20" s="26">
        <v>471071.72074999998</v>
      </c>
      <c r="G20" s="26">
        <v>1652085.9287</v>
      </c>
      <c r="H20" s="26">
        <v>473998.511688</v>
      </c>
      <c r="I20" s="26">
        <v>1255944.8709799999</v>
      </c>
      <c r="J20" s="26">
        <v>452700.61966199998</v>
      </c>
      <c r="K20" s="26">
        <v>1494602.1063999999</v>
      </c>
      <c r="L20" s="26">
        <v>636835.09811999998</v>
      </c>
      <c r="M20" s="26">
        <v>1405873.0595</v>
      </c>
      <c r="N20" s="26">
        <v>950773.58718999999</v>
      </c>
      <c r="O20" s="26">
        <v>882125.29935500002</v>
      </c>
      <c r="P20" s="26">
        <v>1284859.3082099999</v>
      </c>
      <c r="Q20" s="26">
        <v>1308369.8709799999</v>
      </c>
      <c r="R20" s="26">
        <v>1406497.8709799999</v>
      </c>
      <c r="S20" s="26">
        <v>1308369.8709799999</v>
      </c>
      <c r="T20" s="26">
        <v>1406497.8709799999</v>
      </c>
      <c r="U20" s="26">
        <v>1308369.8709799999</v>
      </c>
      <c r="V20" s="26">
        <v>1406497.8709799999</v>
      </c>
      <c r="W20" s="26">
        <v>1308369.8709799999</v>
      </c>
      <c r="X20" s="26">
        <v>1406497.8709799999</v>
      </c>
      <c r="Y20" s="27">
        <v>1308369.8709799999</v>
      </c>
    </row>
    <row r="21" spans="1:25" x14ac:dyDescent="0.45">
      <c r="A21" s="21" t="s">
        <v>32</v>
      </c>
      <c r="B21" s="22">
        <v>6411.79</v>
      </c>
      <c r="C21" s="22">
        <v>6504.9390000000003</v>
      </c>
      <c r="D21" s="22">
        <v>6574.4560000000001</v>
      </c>
      <c r="E21" s="22">
        <v>6294.3651099999997</v>
      </c>
      <c r="F21" s="22">
        <v>5866.1610000000001</v>
      </c>
      <c r="G21" s="22">
        <v>5578.7529999999997</v>
      </c>
      <c r="H21" s="22">
        <v>5578.7529999999997</v>
      </c>
      <c r="I21" s="22">
        <v>5336.1660000000002</v>
      </c>
      <c r="J21" s="22">
        <v>5336.1660000000002</v>
      </c>
      <c r="K21" s="22">
        <v>5126.201</v>
      </c>
      <c r="L21" s="22">
        <v>5126.201</v>
      </c>
      <c r="M21" s="22">
        <v>4754.9859999999999</v>
      </c>
      <c r="N21" s="22">
        <v>4754.9859999999999</v>
      </c>
      <c r="O21" s="22">
        <v>4443.2359999999999</v>
      </c>
      <c r="P21" s="22"/>
      <c r="Q21" s="23">
        <v>4384.9589999999998</v>
      </c>
      <c r="R21" s="23"/>
      <c r="S21" s="23">
        <v>4384.9589999999998</v>
      </c>
      <c r="T21" s="23"/>
      <c r="U21" s="23">
        <v>4384.9589999999998</v>
      </c>
      <c r="V21" s="23"/>
      <c r="W21" s="23">
        <v>4384.9589999999998</v>
      </c>
      <c r="X21" s="23"/>
      <c r="Y21" s="24">
        <v>4384.9589999999998</v>
      </c>
    </row>
    <row r="22" spans="1:25" x14ac:dyDescent="0.4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7"/>
    </row>
    <row r="23" spans="1:25" ht="20.65" x14ac:dyDescent="0.6">
      <c r="A23" s="28" t="s">
        <v>33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</row>
    <row r="24" spans="1:25" x14ac:dyDescent="0.45">
      <c r="A24" s="21" t="s">
        <v>34</v>
      </c>
      <c r="B24" s="31">
        <v>3.20269046636</v>
      </c>
      <c r="C24" s="31">
        <v>2.51994701914</v>
      </c>
      <c r="D24" s="31">
        <v>3.2285847649099999</v>
      </c>
      <c r="E24" s="31">
        <v>1.7488164802599999</v>
      </c>
      <c r="F24" s="31">
        <v>2.57704926694</v>
      </c>
      <c r="G24" s="31">
        <v>2.0281047929599998</v>
      </c>
      <c r="H24" s="31">
        <v>2.0281047929599998</v>
      </c>
      <c r="I24" s="31">
        <v>2.0993448293800001</v>
      </c>
      <c r="J24" s="31">
        <v>2.0993448293800001</v>
      </c>
      <c r="K24" s="31">
        <v>2.7781005353500001</v>
      </c>
      <c r="L24" s="31">
        <v>2.7781005353500001</v>
      </c>
      <c r="M24" s="31">
        <v>3.5797872218600002</v>
      </c>
      <c r="N24" s="31">
        <v>3.5797872218600002</v>
      </c>
      <c r="O24" s="31">
        <v>3.4488481222299998</v>
      </c>
      <c r="P24" s="31">
        <v>4.4437443382700001</v>
      </c>
      <c r="Q24" s="32">
        <v>4.5838534771999999</v>
      </c>
      <c r="R24" s="32">
        <v>4.8210602900000001</v>
      </c>
      <c r="S24" s="32">
        <v>4.2248349790999997</v>
      </c>
      <c r="T24" s="32">
        <v>4.48368859189</v>
      </c>
      <c r="U24" s="32">
        <v>4.0185621518300003</v>
      </c>
      <c r="V24" s="32">
        <v>4.2364423363499997</v>
      </c>
      <c r="W24" s="32">
        <v>3.72707166027</v>
      </c>
      <c r="X24" s="32">
        <v>3.9598203009900002</v>
      </c>
      <c r="Y24" s="33">
        <v>3.5504710126300001</v>
      </c>
    </row>
    <row r="25" spans="1:25" x14ac:dyDescent="0.45">
      <c r="A25" s="21" t="s">
        <v>35</v>
      </c>
      <c r="B25" s="31">
        <v>8.1332925427500005</v>
      </c>
      <c r="C25" s="31">
        <v>6.22533536161</v>
      </c>
      <c r="D25" s="31">
        <v>7.3592284580599996</v>
      </c>
      <c r="E25" s="31">
        <v>4.6480813734900002</v>
      </c>
      <c r="F25" s="31">
        <v>6.6783634227400004</v>
      </c>
      <c r="G25" s="31">
        <v>5.0626803632300001</v>
      </c>
      <c r="H25" s="31">
        <v>5.0626803632300001</v>
      </c>
      <c r="I25" s="31">
        <v>5.3724721367799999</v>
      </c>
      <c r="J25" s="31">
        <v>5.3724721367799999</v>
      </c>
      <c r="K25" s="31">
        <v>7.2214988560500002</v>
      </c>
      <c r="L25" s="31">
        <v>7.2214988560500002</v>
      </c>
      <c r="M25" s="31">
        <v>9.3360459862099994</v>
      </c>
      <c r="N25" s="31">
        <v>9.3360459862099994</v>
      </c>
      <c r="O25" s="31">
        <v>9.1196500869200001</v>
      </c>
      <c r="P25" s="31">
        <v>11.7103586968</v>
      </c>
      <c r="Q25" s="32">
        <v>11.921905582000001</v>
      </c>
      <c r="R25" s="32">
        <v>12.5334369232</v>
      </c>
      <c r="S25" s="32">
        <v>10.9704629303</v>
      </c>
      <c r="T25" s="32">
        <v>11.6241404378</v>
      </c>
      <c r="U25" s="32">
        <v>10.371821272</v>
      </c>
      <c r="V25" s="32">
        <v>10.9488514103</v>
      </c>
      <c r="W25" s="32">
        <v>9.66814957269</v>
      </c>
      <c r="X25" s="32">
        <v>10.2614946513</v>
      </c>
      <c r="Y25" s="33">
        <v>9.1743437018799998</v>
      </c>
    </row>
    <row r="26" spans="1:25" x14ac:dyDescent="0.45">
      <c r="A26" s="21" t="s">
        <v>36</v>
      </c>
      <c r="B26" s="31">
        <v>11.362278252299999</v>
      </c>
      <c r="C26" s="31">
        <v>8.0728542431200001</v>
      </c>
      <c r="D26" s="31">
        <v>9.1471795294600007</v>
      </c>
      <c r="E26" s="31">
        <v>6.09992499114</v>
      </c>
      <c r="F26" s="31">
        <v>8.9722819791300008</v>
      </c>
      <c r="G26" s="31">
        <v>6.6544786141700003</v>
      </c>
      <c r="H26" s="31">
        <v>6.6544786141700003</v>
      </c>
      <c r="I26" s="31">
        <v>7.5419935302800001</v>
      </c>
      <c r="J26" s="31">
        <v>7.5419935302800001</v>
      </c>
      <c r="K26" s="31">
        <v>10.381375491</v>
      </c>
      <c r="L26" s="31">
        <v>10.381375491</v>
      </c>
      <c r="M26" s="31">
        <v>13.4104429912</v>
      </c>
      <c r="N26" s="31">
        <v>13.4104429912</v>
      </c>
      <c r="O26" s="31">
        <v>14.0356735703</v>
      </c>
      <c r="P26" s="31">
        <v>17.981267904700001</v>
      </c>
      <c r="Q26" s="32">
        <v>18.485885374799999</v>
      </c>
      <c r="R26" s="32">
        <v>19.440055634299998</v>
      </c>
      <c r="S26" s="32">
        <v>17.030025247800001</v>
      </c>
      <c r="T26" s="32">
        <v>18.0419504298</v>
      </c>
      <c r="U26" s="32">
        <v>16.091176038299999</v>
      </c>
      <c r="V26" s="32">
        <v>17.024110519600001</v>
      </c>
      <c r="W26" s="32">
        <v>15.1256632483</v>
      </c>
      <c r="X26" s="32">
        <v>16.139880638800001</v>
      </c>
      <c r="Y26" s="33">
        <v>14.651398331199999</v>
      </c>
    </row>
    <row r="27" spans="1:25" x14ac:dyDescent="0.45">
      <c r="A27" s="21" t="s">
        <v>37</v>
      </c>
      <c r="B27" s="31">
        <v>10.7611521568</v>
      </c>
      <c r="C27" s="31">
        <v>7.6615477158500003</v>
      </c>
      <c r="D27" s="31">
        <v>8.6349387263300006</v>
      </c>
      <c r="E27" s="31">
        <v>5.1524802124000004</v>
      </c>
      <c r="F27" s="31">
        <v>7.7928786373600003</v>
      </c>
      <c r="G27" s="31">
        <v>5.7463419895000003</v>
      </c>
      <c r="H27" s="31">
        <v>5.7463419895000003</v>
      </c>
      <c r="I27" s="31">
        <v>6.4186450915500002</v>
      </c>
      <c r="J27" s="31">
        <v>6.4186450915500002</v>
      </c>
      <c r="K27" s="31">
        <v>8.9066600204200004</v>
      </c>
      <c r="L27" s="31">
        <v>8.9066600204200004</v>
      </c>
      <c r="M27" s="31">
        <v>11.6230068971</v>
      </c>
      <c r="N27" s="31">
        <v>11.6230068971</v>
      </c>
      <c r="O27" s="31">
        <v>11.732947309</v>
      </c>
      <c r="P27" s="31">
        <v>15.2265692413</v>
      </c>
      <c r="Q27" s="32">
        <v>15.834944843700001</v>
      </c>
      <c r="R27" s="32">
        <v>16.6945275283</v>
      </c>
      <c r="S27" s="32">
        <v>14.7270914584</v>
      </c>
      <c r="T27" s="32">
        <v>15.588051241100001</v>
      </c>
      <c r="U27" s="32">
        <v>13.8674030682</v>
      </c>
      <c r="V27" s="32">
        <v>14.6449015742</v>
      </c>
      <c r="W27" s="32">
        <v>12.9465302221</v>
      </c>
      <c r="X27" s="32">
        <v>13.7481292309</v>
      </c>
      <c r="Y27" s="33">
        <v>12.3094352336</v>
      </c>
    </row>
    <row r="28" spans="1:25" x14ac:dyDescent="0.45">
      <c r="A28" s="21" t="s">
        <v>38</v>
      </c>
      <c r="B28" s="31">
        <v>12.081168565600001</v>
      </c>
      <c r="C28" s="31">
        <v>9.6896044641600003</v>
      </c>
      <c r="D28" s="31">
        <v>10.2878765451</v>
      </c>
      <c r="E28" s="31">
        <v>6.10815246645</v>
      </c>
      <c r="F28" s="31">
        <v>9.3030989957700001</v>
      </c>
      <c r="G28" s="31">
        <v>6.6761294058700003</v>
      </c>
      <c r="H28" s="31">
        <v>6.6761294058700003</v>
      </c>
      <c r="I28" s="31">
        <v>7.9447643892100004</v>
      </c>
      <c r="J28" s="31">
        <v>7.8328682353400003</v>
      </c>
      <c r="K28" s="31">
        <v>10.847870713700001</v>
      </c>
      <c r="L28" s="31">
        <v>10.7846756667</v>
      </c>
      <c r="M28" s="31">
        <v>13.882338324799999</v>
      </c>
      <c r="N28" s="31">
        <v>13.882338324799999</v>
      </c>
      <c r="O28" s="31">
        <v>13.5991726736</v>
      </c>
      <c r="P28" s="31"/>
      <c r="Q28" s="32">
        <v>18.291182947399999</v>
      </c>
      <c r="R28" s="32">
        <v>19.331480129700001</v>
      </c>
      <c r="S28" s="32">
        <v>17.169811707499999</v>
      </c>
      <c r="T28" s="32">
        <v>18.192231693099998</v>
      </c>
      <c r="U28" s="32">
        <v>16.230683856500001</v>
      </c>
      <c r="V28" s="32">
        <v>16.9854972264</v>
      </c>
      <c r="W28" s="32">
        <v>14.6482816756</v>
      </c>
      <c r="X28" s="32">
        <v>15.4477495173</v>
      </c>
      <c r="Y28" s="33">
        <v>13.5659689043</v>
      </c>
    </row>
    <row r="29" spans="1:25" x14ac:dyDescent="0.45">
      <c r="A29" s="21" t="s">
        <v>39</v>
      </c>
      <c r="B29" s="31">
        <v>18.7292494836</v>
      </c>
      <c r="C29" s="31">
        <v>13.7759557972</v>
      </c>
      <c r="D29" s="31">
        <v>15.1100689274</v>
      </c>
      <c r="E29" s="31">
        <v>11.9936507212</v>
      </c>
      <c r="F29" s="31">
        <v>15.620155500699999</v>
      </c>
      <c r="G29" s="31">
        <v>11.9631243824</v>
      </c>
      <c r="H29" s="31">
        <v>11.9631243824</v>
      </c>
      <c r="I29" s="31">
        <v>13.604091972499999</v>
      </c>
      <c r="J29" s="31">
        <v>13.604091972499999</v>
      </c>
      <c r="K29" s="31">
        <v>16.7339847298</v>
      </c>
      <c r="L29" s="31">
        <v>16.7339847298</v>
      </c>
      <c r="M29" s="31">
        <v>18.953821401500001</v>
      </c>
      <c r="N29" s="31">
        <v>18.953821401500001</v>
      </c>
      <c r="O29" s="31">
        <v>18.8368379759</v>
      </c>
      <c r="P29" s="31">
        <v>23.195095436799999</v>
      </c>
      <c r="Q29" s="32">
        <v>23.127560256100001</v>
      </c>
      <c r="R29" s="32">
        <v>22.380770319100002</v>
      </c>
      <c r="S29" s="32">
        <v>20.473215718700001</v>
      </c>
      <c r="T29" s="32">
        <v>19.936805268000001</v>
      </c>
      <c r="U29" s="32">
        <v>18.4985877885</v>
      </c>
      <c r="V29" s="32">
        <v>18.4522840138</v>
      </c>
      <c r="W29" s="32">
        <v>18.316237037</v>
      </c>
      <c r="X29" s="32">
        <v>18.021486184299999</v>
      </c>
      <c r="Y29" s="33">
        <v>17.153146211300001</v>
      </c>
    </row>
    <row r="30" spans="1:25" x14ac:dyDescent="0.45">
      <c r="A30" s="21" t="s">
        <v>40</v>
      </c>
      <c r="B30" s="31">
        <v>5.4383981433299997</v>
      </c>
      <c r="C30" s="31">
        <v>4.6250961936300001</v>
      </c>
      <c r="D30" s="31">
        <v>5.3003159156299997</v>
      </c>
      <c r="E30" s="31">
        <v>3.4698073205000002</v>
      </c>
      <c r="F30" s="31">
        <v>5.2983560360200004</v>
      </c>
      <c r="G30" s="31">
        <v>5.15551515804</v>
      </c>
      <c r="H30" s="31">
        <v>5.15551515804</v>
      </c>
      <c r="I30" s="31">
        <v>4.7037686037400004</v>
      </c>
      <c r="J30" s="31">
        <v>4.7037686037400004</v>
      </c>
      <c r="K30" s="31">
        <v>5.8938290160899998</v>
      </c>
      <c r="L30" s="31">
        <v>5.8938290160899998</v>
      </c>
      <c r="M30" s="31">
        <v>10.0179247873</v>
      </c>
      <c r="N30" s="31">
        <v>10.0179247873</v>
      </c>
      <c r="O30" s="31">
        <v>10.9976086481</v>
      </c>
      <c r="P30" s="31"/>
      <c r="Q30" s="32">
        <v>18.631540021999999</v>
      </c>
      <c r="R30" s="32"/>
      <c r="S30" s="32">
        <v>19.223176653500001</v>
      </c>
      <c r="T30" s="32"/>
      <c r="U30" s="32">
        <v>32.6411413485</v>
      </c>
      <c r="V30" s="32"/>
      <c r="W30" s="32"/>
      <c r="X30" s="32"/>
      <c r="Y30" s="33"/>
    </row>
    <row r="31" spans="1:25" x14ac:dyDescent="0.45">
      <c r="A31" s="21" t="s">
        <v>41</v>
      </c>
      <c r="B31" s="31">
        <v>5.5644961391600001</v>
      </c>
      <c r="C31" s="31">
        <v>4.9090747804200001</v>
      </c>
      <c r="D31" s="31">
        <v>5.55201411053</v>
      </c>
      <c r="E31" s="31">
        <v>3.6393607823999998</v>
      </c>
      <c r="F31" s="31">
        <v>5.7497954134200002</v>
      </c>
      <c r="G31" s="31">
        <v>5.5764278876200004</v>
      </c>
      <c r="H31" s="31">
        <v>5.5764278876200004</v>
      </c>
      <c r="I31" s="31">
        <v>5.0427038566000002</v>
      </c>
      <c r="J31" s="31">
        <v>5.0427038566000002</v>
      </c>
      <c r="K31" s="31">
        <v>6.2686468366800003</v>
      </c>
      <c r="L31" s="31">
        <v>5.8938290160899998</v>
      </c>
      <c r="M31" s="31">
        <v>10.0179247873</v>
      </c>
      <c r="N31" s="31">
        <v>10.0179247873</v>
      </c>
      <c r="O31" s="31">
        <v>10.9976086481</v>
      </c>
      <c r="P31" s="31"/>
      <c r="Q31" s="32">
        <v>34.298971404200003</v>
      </c>
      <c r="R31" s="32"/>
      <c r="S31" s="32">
        <v>29.0799674326</v>
      </c>
      <c r="T31" s="32"/>
      <c r="U31" s="32">
        <v>43.380561403500003</v>
      </c>
      <c r="V31" s="32"/>
      <c r="W31" s="32"/>
      <c r="X31" s="32"/>
      <c r="Y31" s="33"/>
    </row>
    <row r="32" spans="1:25" x14ac:dyDescent="0.45">
      <c r="A32" s="21" t="s">
        <v>42</v>
      </c>
      <c r="B32" s="34">
        <v>6.3384335937799996</v>
      </c>
      <c r="C32" s="34">
        <v>8.4878938611100008</v>
      </c>
      <c r="D32" s="34">
        <v>6.6162281086199997</v>
      </c>
      <c r="E32" s="34">
        <v>10.4014258835</v>
      </c>
      <c r="F32" s="34">
        <v>8.4430918244700006</v>
      </c>
      <c r="G32" s="34">
        <v>11.3398114161</v>
      </c>
      <c r="H32" s="34">
        <v>11.3398114161</v>
      </c>
      <c r="I32" s="34">
        <v>8.6656753140300005</v>
      </c>
      <c r="J32" s="34">
        <v>8.86807774647</v>
      </c>
      <c r="K32" s="34">
        <v>6.4303517107200001</v>
      </c>
      <c r="L32" s="34">
        <v>6.5532553091499999</v>
      </c>
      <c r="M32" s="34">
        <v>5.9736875621300003</v>
      </c>
      <c r="N32" s="34">
        <v>5.9736875621300003</v>
      </c>
      <c r="O32" s="34">
        <v>5.9182941903700002</v>
      </c>
      <c r="P32" s="34"/>
      <c r="Q32" s="35">
        <v>5.2023649341900002</v>
      </c>
      <c r="R32" s="35"/>
      <c r="S32" s="35">
        <v>5.5831395965999997</v>
      </c>
      <c r="T32" s="35"/>
      <c r="U32" s="35">
        <v>6.2694050420799998</v>
      </c>
      <c r="V32" s="35"/>
      <c r="W32" s="35">
        <v>6.4177951678699996</v>
      </c>
      <c r="X32" s="35"/>
      <c r="Y32" s="36">
        <v>6.8377672220000001</v>
      </c>
    </row>
    <row r="33" spans="1:25" x14ac:dyDescent="0.4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7"/>
    </row>
    <row r="34" spans="1:25" ht="20.65" x14ac:dyDescent="0.6">
      <c r="A34" s="28" t="s">
        <v>43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/>
    </row>
    <row r="35" spans="1:25" x14ac:dyDescent="0.45">
      <c r="A35" s="21" t="s">
        <v>44</v>
      </c>
      <c r="B35" s="22">
        <v>65225</v>
      </c>
      <c r="C35" s="22">
        <v>108249</v>
      </c>
      <c r="D35" s="22">
        <v>156508</v>
      </c>
      <c r="E35" s="22">
        <v>170910</v>
      </c>
      <c r="F35" s="22">
        <v>182795</v>
      </c>
      <c r="G35" s="22">
        <v>233715</v>
      </c>
      <c r="H35" s="22">
        <v>233715</v>
      </c>
      <c r="I35" s="22">
        <v>215639</v>
      </c>
      <c r="J35" s="22">
        <v>215639</v>
      </c>
      <c r="K35" s="22">
        <v>229234</v>
      </c>
      <c r="L35" s="22">
        <v>229234</v>
      </c>
      <c r="M35" s="22">
        <v>265595</v>
      </c>
      <c r="N35" s="22">
        <v>265595</v>
      </c>
      <c r="O35" s="22">
        <v>260174</v>
      </c>
      <c r="P35" s="22">
        <v>267683</v>
      </c>
      <c r="Q35" s="23">
        <v>285430.125</v>
      </c>
      <c r="R35" s="23">
        <v>291740.36132600001</v>
      </c>
      <c r="S35" s="23">
        <v>309685.43800000002</v>
      </c>
      <c r="T35" s="23">
        <v>313692.140334</v>
      </c>
      <c r="U35" s="23">
        <v>325581.59399999998</v>
      </c>
      <c r="V35" s="23">
        <v>331999.767567</v>
      </c>
      <c r="W35" s="23">
        <v>351045</v>
      </c>
      <c r="X35" s="23">
        <v>355192.34815500001</v>
      </c>
      <c r="Y35" s="24">
        <v>368506</v>
      </c>
    </row>
    <row r="36" spans="1:25" x14ac:dyDescent="0.45">
      <c r="A36" s="37" t="s">
        <v>45</v>
      </c>
      <c r="B36" s="38">
        <v>52.021908868399997</v>
      </c>
      <c r="C36" s="38">
        <v>65.962437715600004</v>
      </c>
      <c r="D36" s="38">
        <v>44.581474193799998</v>
      </c>
      <c r="E36" s="38">
        <v>9.2020855164000004</v>
      </c>
      <c r="F36" s="38">
        <v>6.9539523725899999</v>
      </c>
      <c r="G36" s="38">
        <v>27.856341803700001</v>
      </c>
      <c r="H36" s="38">
        <v>27.856341803700001</v>
      </c>
      <c r="I36" s="38">
        <v>-7.7342061913000002</v>
      </c>
      <c r="J36" s="38">
        <v>-7.7342061913000002</v>
      </c>
      <c r="K36" s="38">
        <v>6.3045181994000004</v>
      </c>
      <c r="L36" s="38">
        <v>6.3045181994000004</v>
      </c>
      <c r="M36" s="38">
        <v>15.861957650300001</v>
      </c>
      <c r="N36" s="38">
        <v>15.861957650300001</v>
      </c>
      <c r="O36" s="38">
        <v>-2.0410775805300001</v>
      </c>
      <c r="P36" s="38"/>
      <c r="Q36" s="39">
        <v>9.7073977415100003</v>
      </c>
      <c r="R36" s="39">
        <v>8.9872578109199992</v>
      </c>
      <c r="S36" s="39">
        <v>8.4978111543099999</v>
      </c>
      <c r="T36" s="39">
        <v>7.5244230548799997</v>
      </c>
      <c r="U36" s="39">
        <v>5.1330007967600002</v>
      </c>
      <c r="V36" s="39">
        <v>5.8361765817600002</v>
      </c>
      <c r="W36" s="39">
        <v>7.8208984995600002</v>
      </c>
      <c r="X36" s="39">
        <v>6.98572193528</v>
      </c>
      <c r="Y36" s="40">
        <v>4.9740061815400001</v>
      </c>
    </row>
    <row r="37" spans="1:25" x14ac:dyDescent="0.45">
      <c r="A37" s="21" t="s">
        <v>46</v>
      </c>
      <c r="B37" s="22">
        <v>25684</v>
      </c>
      <c r="C37" s="22">
        <v>43818</v>
      </c>
      <c r="D37" s="22">
        <v>68662</v>
      </c>
      <c r="E37" s="22">
        <v>64304</v>
      </c>
      <c r="F37" s="22">
        <v>70537</v>
      </c>
      <c r="G37" s="22">
        <v>93626</v>
      </c>
      <c r="H37" s="22">
        <v>93626</v>
      </c>
      <c r="I37" s="22">
        <v>84263</v>
      </c>
      <c r="J37" s="22">
        <v>84263</v>
      </c>
      <c r="K37" s="22">
        <v>88186</v>
      </c>
      <c r="L37" s="22">
        <v>88186</v>
      </c>
      <c r="M37" s="22">
        <v>101839</v>
      </c>
      <c r="N37" s="22">
        <v>101839</v>
      </c>
      <c r="O37" s="22">
        <v>98392</v>
      </c>
      <c r="P37" s="22">
        <v>101578</v>
      </c>
      <c r="Q37" s="23">
        <v>109745.02876099999</v>
      </c>
      <c r="R37" s="23">
        <v>112219.6473</v>
      </c>
      <c r="S37" s="23">
        <v>119262.959028</v>
      </c>
      <c r="T37" s="23">
        <v>120998.010864</v>
      </c>
      <c r="U37" s="23">
        <v>126146.58859499999</v>
      </c>
      <c r="V37" s="23">
        <v>128460.768922</v>
      </c>
      <c r="W37" s="23">
        <v>135327.8475</v>
      </c>
      <c r="X37" s="23">
        <v>137065.595099</v>
      </c>
      <c r="Y37" s="24">
        <v>142611.82199999999</v>
      </c>
    </row>
    <row r="38" spans="1:25" x14ac:dyDescent="0.45">
      <c r="A38" s="37" t="s">
        <v>47</v>
      </c>
      <c r="B38" s="38">
        <v>39.377539287099999</v>
      </c>
      <c r="C38" s="38">
        <v>40.478895878899998</v>
      </c>
      <c r="D38" s="38">
        <v>43.871239808799999</v>
      </c>
      <c r="E38" s="38">
        <v>37.624480720800001</v>
      </c>
      <c r="F38" s="38">
        <v>38.588035777800002</v>
      </c>
      <c r="G38" s="38">
        <v>40.059902017399999</v>
      </c>
      <c r="H38" s="38">
        <v>40.059902017399999</v>
      </c>
      <c r="I38" s="38">
        <v>39.075955648099999</v>
      </c>
      <c r="J38" s="38">
        <v>39.075955648099999</v>
      </c>
      <c r="K38" s="38">
        <v>38.4698604919</v>
      </c>
      <c r="L38" s="38">
        <v>38.4698604919</v>
      </c>
      <c r="M38" s="38">
        <v>38.343718819999999</v>
      </c>
      <c r="N38" s="38">
        <v>38.343718819999999</v>
      </c>
      <c r="O38" s="38">
        <v>37.817768108999999</v>
      </c>
      <c r="P38" s="38">
        <v>37.947124023599997</v>
      </c>
      <c r="Q38" s="39">
        <v>38.448999999999998</v>
      </c>
      <c r="R38" s="39">
        <v>38.465588645300002</v>
      </c>
      <c r="S38" s="39">
        <v>38.511000000000003</v>
      </c>
      <c r="T38" s="39">
        <v>38.572216293099999</v>
      </c>
      <c r="U38" s="39">
        <v>38.744999999999997</v>
      </c>
      <c r="V38" s="39">
        <v>38.693029776300001</v>
      </c>
      <c r="W38" s="39">
        <v>38.549999999999997</v>
      </c>
      <c r="X38" s="39">
        <v>38.589118208999999</v>
      </c>
      <c r="Y38" s="40">
        <v>38.700000000000003</v>
      </c>
    </row>
    <row r="39" spans="1:25" x14ac:dyDescent="0.45">
      <c r="A39" s="21" t="s">
        <v>48</v>
      </c>
      <c r="B39" s="22">
        <v>18385</v>
      </c>
      <c r="C39" s="22">
        <v>33790</v>
      </c>
      <c r="D39" s="22">
        <v>55241</v>
      </c>
      <c r="E39" s="22">
        <v>48999</v>
      </c>
      <c r="F39" s="22">
        <v>52503</v>
      </c>
      <c r="G39" s="22">
        <v>71230</v>
      </c>
      <c r="H39" s="22">
        <v>71230</v>
      </c>
      <c r="I39" s="22">
        <v>60024</v>
      </c>
      <c r="J39" s="22">
        <v>60024</v>
      </c>
      <c r="K39" s="22">
        <v>61344</v>
      </c>
      <c r="L39" s="22">
        <v>61344</v>
      </c>
      <c r="M39" s="22">
        <v>70898</v>
      </c>
      <c r="N39" s="22">
        <v>70898</v>
      </c>
      <c r="O39" s="22">
        <v>63930</v>
      </c>
      <c r="P39" s="22">
        <v>66153</v>
      </c>
      <c r="Q39" s="23">
        <v>70776.695000000007</v>
      </c>
      <c r="R39" s="23">
        <v>72350.506471800007</v>
      </c>
      <c r="S39" s="23">
        <v>76827.241999999998</v>
      </c>
      <c r="T39" s="23">
        <v>77957.085430100007</v>
      </c>
      <c r="U39" s="23">
        <v>81309.773000000001</v>
      </c>
      <c r="V39" s="23">
        <v>82617.994600000005</v>
      </c>
      <c r="W39" s="23">
        <v>86500</v>
      </c>
      <c r="X39" s="23">
        <v>87144.254809499995</v>
      </c>
      <c r="Y39" s="24">
        <v>89300</v>
      </c>
    </row>
    <row r="40" spans="1:25" x14ac:dyDescent="0.45">
      <c r="A40" s="37" t="s">
        <v>49</v>
      </c>
      <c r="B40" s="38">
        <v>28.187044844799999</v>
      </c>
      <c r="C40" s="38">
        <v>31.2150689614</v>
      </c>
      <c r="D40" s="38">
        <v>35.295959312000001</v>
      </c>
      <c r="E40" s="38">
        <v>28.669475162400001</v>
      </c>
      <c r="F40" s="38">
        <v>28.722339232500001</v>
      </c>
      <c r="G40" s="38">
        <v>30.477290717300001</v>
      </c>
      <c r="H40" s="38">
        <v>30.477290717300001</v>
      </c>
      <c r="I40" s="38">
        <v>27.835410106699999</v>
      </c>
      <c r="J40" s="38">
        <v>27.835410106699999</v>
      </c>
      <c r="K40" s="38">
        <v>26.760428208699999</v>
      </c>
      <c r="L40" s="38">
        <v>26.760428208699999</v>
      </c>
      <c r="M40" s="38">
        <v>26.694026619500001</v>
      </c>
      <c r="N40" s="38">
        <v>26.694026619500001</v>
      </c>
      <c r="O40" s="38">
        <v>24.572017188499998</v>
      </c>
      <c r="P40" s="38">
        <v>24.713186866600001</v>
      </c>
      <c r="Q40" s="39">
        <v>24.796504923899999</v>
      </c>
      <c r="R40" s="39">
        <v>24.799621877100002</v>
      </c>
      <c r="S40" s="39">
        <v>24.808154524900001</v>
      </c>
      <c r="T40" s="39">
        <v>24.851462758099998</v>
      </c>
      <c r="U40" s="39">
        <v>24.973700755300001</v>
      </c>
      <c r="V40" s="39">
        <v>24.884955554499999</v>
      </c>
      <c r="W40" s="39">
        <v>24.640715577800002</v>
      </c>
      <c r="X40" s="39">
        <v>24.534384049100002</v>
      </c>
      <c r="Y40" s="40">
        <v>24.232983994800001</v>
      </c>
    </row>
    <row r="41" spans="1:25" x14ac:dyDescent="0.45">
      <c r="A41" s="21" t="s">
        <v>50</v>
      </c>
      <c r="B41" s="22">
        <v>19412</v>
      </c>
      <c r="C41" s="22">
        <v>35604</v>
      </c>
      <c r="D41" s="22">
        <v>58518</v>
      </c>
      <c r="E41" s="22">
        <v>58009</v>
      </c>
      <c r="F41" s="22">
        <v>60449</v>
      </c>
      <c r="G41" s="22">
        <v>82487</v>
      </c>
      <c r="H41" s="22">
        <v>82487</v>
      </c>
      <c r="I41" s="22">
        <v>70529</v>
      </c>
      <c r="J41" s="22">
        <v>70529</v>
      </c>
      <c r="K41" s="22">
        <v>71501</v>
      </c>
      <c r="L41" s="22">
        <v>71501</v>
      </c>
      <c r="M41" s="22">
        <v>81801</v>
      </c>
      <c r="N41" s="22">
        <v>81801</v>
      </c>
      <c r="O41" s="22">
        <v>76477</v>
      </c>
      <c r="P41" s="22">
        <v>78121</v>
      </c>
      <c r="Q41" s="23">
        <v>82625.476999999999</v>
      </c>
      <c r="R41" s="23">
        <v>84249.0372126</v>
      </c>
      <c r="S41" s="23">
        <v>88841.023000000001</v>
      </c>
      <c r="T41" s="23">
        <v>90229.230660300003</v>
      </c>
      <c r="U41" s="23">
        <v>94348.585999999996</v>
      </c>
      <c r="V41" s="23">
        <v>96040.104049300004</v>
      </c>
      <c r="W41" s="23">
        <v>101059.5</v>
      </c>
      <c r="X41" s="23">
        <v>102304.673411</v>
      </c>
      <c r="Y41" s="24">
        <v>106290</v>
      </c>
    </row>
    <row r="42" spans="1:25" x14ac:dyDescent="0.45">
      <c r="A42" s="37" t="s">
        <v>51</v>
      </c>
      <c r="B42" s="38">
        <v>29.761594480599999</v>
      </c>
      <c r="C42" s="38">
        <v>32.890835019299999</v>
      </c>
      <c r="D42" s="38">
        <v>37.389781992000003</v>
      </c>
      <c r="E42" s="38">
        <v>33.941255631600001</v>
      </c>
      <c r="F42" s="38">
        <v>33.069285264900003</v>
      </c>
      <c r="G42" s="38">
        <v>35.293840789000001</v>
      </c>
      <c r="H42" s="38">
        <v>35.293840789000001</v>
      </c>
      <c r="I42" s="38">
        <v>32.706977865799999</v>
      </c>
      <c r="J42" s="38">
        <v>32.706977865799999</v>
      </c>
      <c r="K42" s="38">
        <v>31.191271800900001</v>
      </c>
      <c r="L42" s="38">
        <v>31.191271800900001</v>
      </c>
      <c r="M42" s="38">
        <v>30.799149080399999</v>
      </c>
      <c r="N42" s="38">
        <v>30.799149080399999</v>
      </c>
      <c r="O42" s="38">
        <v>29.394559025900001</v>
      </c>
      <c r="P42" s="38">
        <v>29.184146920100002</v>
      </c>
      <c r="Q42" s="39">
        <v>28.947707254099999</v>
      </c>
      <c r="R42" s="39">
        <v>28.878087635699998</v>
      </c>
      <c r="S42" s="39">
        <v>28.6875041893</v>
      </c>
      <c r="T42" s="39">
        <v>28.7636249235</v>
      </c>
      <c r="U42" s="39">
        <v>28.9784765904</v>
      </c>
      <c r="V42" s="39">
        <v>28.927762435799998</v>
      </c>
      <c r="W42" s="39">
        <v>28.7881895483</v>
      </c>
      <c r="X42" s="39">
        <v>28.802611864399999</v>
      </c>
      <c r="Y42" s="40">
        <v>28.843492371899998</v>
      </c>
    </row>
    <row r="43" spans="1:25" x14ac:dyDescent="0.45">
      <c r="A43" s="21" t="s">
        <v>52</v>
      </c>
      <c r="B43" s="41">
        <v>2.1642999649000001</v>
      </c>
      <c r="C43" s="41">
        <v>3.9542999267600001</v>
      </c>
      <c r="D43" s="41">
        <v>6.3070998191800003</v>
      </c>
      <c r="E43" s="41">
        <v>5.6785998344399999</v>
      </c>
      <c r="F43" s="41">
        <v>6.4499998092700004</v>
      </c>
      <c r="G43" s="41">
        <v>9.2200002670300005</v>
      </c>
      <c r="H43" s="41">
        <v>9.2200002670300005</v>
      </c>
      <c r="I43" s="41">
        <v>8.3100004196199997</v>
      </c>
      <c r="J43" s="41">
        <v>8.3100004196199997</v>
      </c>
      <c r="K43" s="41">
        <v>9.2100000381499996</v>
      </c>
      <c r="L43" s="41">
        <v>9.2100000381499996</v>
      </c>
      <c r="M43" s="41">
        <v>11.9099998474</v>
      </c>
      <c r="N43" s="41">
        <v>11.9099998474</v>
      </c>
      <c r="O43" s="41">
        <v>11.890000343300001</v>
      </c>
      <c r="P43" s="41">
        <v>12.660000076299999</v>
      </c>
      <c r="Q43" s="42">
        <v>13.898999999999999</v>
      </c>
      <c r="R43" s="42">
        <v>14.3627746238</v>
      </c>
      <c r="S43" s="42">
        <v>15.701000000000001</v>
      </c>
      <c r="T43" s="42">
        <v>16.1234438356</v>
      </c>
      <c r="U43" s="42">
        <v>17.376999999999999</v>
      </c>
      <c r="V43" s="42">
        <v>17.420605479500001</v>
      </c>
      <c r="W43" s="42">
        <v>17.55</v>
      </c>
      <c r="X43" s="42">
        <v>17.837039449100001</v>
      </c>
      <c r="Y43" s="43">
        <v>18.739999999999998</v>
      </c>
    </row>
    <row r="44" spans="1:25" x14ac:dyDescent="0.45">
      <c r="A44" s="37" t="s">
        <v>45</v>
      </c>
      <c r="B44" s="38">
        <v>140.85243797300001</v>
      </c>
      <c r="C44" s="38">
        <v>82.705724293800003</v>
      </c>
      <c r="D44" s="38">
        <v>59.4997834256</v>
      </c>
      <c r="E44" s="38">
        <v>-9.9649601680399993</v>
      </c>
      <c r="F44" s="38">
        <v>13.584334119699999</v>
      </c>
      <c r="G44" s="38">
        <v>42.945744801099998</v>
      </c>
      <c r="H44" s="38">
        <v>42.945744801099998</v>
      </c>
      <c r="I44" s="38">
        <v>-9.8698462153400008</v>
      </c>
      <c r="J44" s="38">
        <v>-9.8698462153400008</v>
      </c>
      <c r="K44" s="38">
        <v>10.830319772399999</v>
      </c>
      <c r="L44" s="38">
        <v>10.830319772399999</v>
      </c>
      <c r="M44" s="38">
        <v>29.315958719499999</v>
      </c>
      <c r="N44" s="38">
        <v>29.315958719499999</v>
      </c>
      <c r="O44" s="38">
        <v>-0.167921950934</v>
      </c>
      <c r="P44" s="38"/>
      <c r="Q44" s="39">
        <v>16.896548349</v>
      </c>
      <c r="R44" s="39">
        <v>13.4500358392</v>
      </c>
      <c r="S44" s="39">
        <v>12.964961508</v>
      </c>
      <c r="T44" s="39">
        <v>12.258559073100001</v>
      </c>
      <c r="U44" s="39">
        <v>10.674479332500001</v>
      </c>
      <c r="V44" s="39">
        <v>8.0451897071499996</v>
      </c>
      <c r="W44" s="39">
        <v>0.99556885538399997</v>
      </c>
      <c r="X44" s="39">
        <v>2.3904678289699999</v>
      </c>
      <c r="Y44" s="40">
        <v>6.7806267806299996</v>
      </c>
    </row>
    <row r="45" spans="1:25" x14ac:dyDescent="0.45">
      <c r="A45" s="21" t="s">
        <v>53</v>
      </c>
      <c r="B45" s="41">
        <v>7.45361279767</v>
      </c>
      <c r="C45" s="41">
        <v>11.777973629</v>
      </c>
      <c r="D45" s="41">
        <v>17.980194863299999</v>
      </c>
      <c r="E45" s="41">
        <v>19.628508648699999</v>
      </c>
      <c r="F45" s="41">
        <v>19.015332173800001</v>
      </c>
      <c r="G45" s="41">
        <v>21.3945661333</v>
      </c>
      <c r="H45" s="41">
        <v>21.3945661333</v>
      </c>
      <c r="I45" s="41">
        <v>24.0339224829</v>
      </c>
      <c r="J45" s="41">
        <v>24.0339224829</v>
      </c>
      <c r="K45" s="41">
        <v>26.1493843101</v>
      </c>
      <c r="L45" s="41">
        <v>26.1493843101</v>
      </c>
      <c r="M45" s="41">
        <v>22.5336099833</v>
      </c>
      <c r="N45" s="41">
        <v>22.5336099833</v>
      </c>
      <c r="O45" s="41">
        <v>20.3653373352</v>
      </c>
      <c r="P45" s="41"/>
      <c r="Q45" s="42">
        <v>17.253</v>
      </c>
      <c r="R45" s="42"/>
      <c r="S45" s="42">
        <v>16.722000000000001</v>
      </c>
      <c r="T45" s="42"/>
      <c r="U45" s="42">
        <v>9.8480000000000008</v>
      </c>
      <c r="V45" s="42"/>
      <c r="W45" s="42"/>
      <c r="X45" s="42"/>
      <c r="Y45" s="43"/>
    </row>
    <row r="46" spans="1:25" x14ac:dyDescent="0.45">
      <c r="A46" s="37" t="s">
        <v>45</v>
      </c>
      <c r="B46" s="38">
        <v>48.380570579800001</v>
      </c>
      <c r="C46" s="38">
        <v>58.016977118600003</v>
      </c>
      <c r="D46" s="38">
        <v>52.659493302199998</v>
      </c>
      <c r="E46" s="38">
        <v>9.1673855480000004</v>
      </c>
      <c r="F46" s="38">
        <v>-3.1239076074200001</v>
      </c>
      <c r="G46" s="38">
        <v>12.5121872064</v>
      </c>
      <c r="H46" s="38">
        <v>12.5121872064</v>
      </c>
      <c r="I46" s="38">
        <v>12.336573376400001</v>
      </c>
      <c r="J46" s="38">
        <v>12.336573376400001</v>
      </c>
      <c r="K46" s="38">
        <v>8.8019832330999996</v>
      </c>
      <c r="L46" s="38">
        <v>8.8019832330999996</v>
      </c>
      <c r="M46" s="38">
        <v>-13.8273784343</v>
      </c>
      <c r="N46" s="38">
        <v>-13.8273784343</v>
      </c>
      <c r="O46" s="38">
        <v>-9.62239361428</v>
      </c>
      <c r="P46" s="38"/>
      <c r="Q46" s="39">
        <v>-15.282522867000001</v>
      </c>
      <c r="R46" s="39"/>
      <c r="S46" s="39">
        <v>-3.0777256129400001</v>
      </c>
      <c r="T46" s="39"/>
      <c r="U46" s="39">
        <v>-41.107523023600002</v>
      </c>
      <c r="V46" s="39"/>
      <c r="W46" s="39"/>
      <c r="X46" s="39"/>
      <c r="Y46" s="40"/>
    </row>
    <row r="47" spans="1:25" x14ac:dyDescent="0.45">
      <c r="A47" s="21" t="s">
        <v>54</v>
      </c>
      <c r="B47" s="41">
        <v>7.28470520713</v>
      </c>
      <c r="C47" s="41">
        <v>11.096645179899999</v>
      </c>
      <c r="D47" s="41">
        <v>17.1650703876</v>
      </c>
      <c r="E47" s="41">
        <v>18.714039929599998</v>
      </c>
      <c r="F47" s="41">
        <v>17.522362580900001</v>
      </c>
      <c r="G47" s="41">
        <v>19.779689116899998</v>
      </c>
      <c r="H47" s="41">
        <v>19.779689116899998</v>
      </c>
      <c r="I47" s="41">
        <v>22.418530457999999</v>
      </c>
      <c r="J47" s="41">
        <v>22.418530457999999</v>
      </c>
      <c r="K47" s="41">
        <v>24.5858482724</v>
      </c>
      <c r="L47" s="41">
        <v>26.1493843101</v>
      </c>
      <c r="M47" s="41">
        <v>22.5336099833</v>
      </c>
      <c r="N47" s="41">
        <v>22.5336099833</v>
      </c>
      <c r="O47" s="41">
        <v>20.3653373352</v>
      </c>
      <c r="P47" s="41"/>
      <c r="Q47" s="42">
        <v>9.3719999999999999</v>
      </c>
      <c r="R47" s="42"/>
      <c r="S47" s="42">
        <v>11.054</v>
      </c>
      <c r="T47" s="42"/>
      <c r="U47" s="42">
        <v>7.41</v>
      </c>
      <c r="V47" s="42"/>
      <c r="W47" s="42"/>
      <c r="X47" s="42"/>
      <c r="Y47" s="43"/>
    </row>
    <row r="48" spans="1:25" x14ac:dyDescent="0.45">
      <c r="A48" s="37" t="s">
        <v>45</v>
      </c>
      <c r="B48" s="38">
        <v>47.626281904599999</v>
      </c>
      <c r="C48" s="38">
        <v>52.327992202600001</v>
      </c>
      <c r="D48" s="38">
        <v>54.687025757000001</v>
      </c>
      <c r="E48" s="38">
        <v>9.0239626580200003</v>
      </c>
      <c r="F48" s="38">
        <v>-6.3678251899799996</v>
      </c>
      <c r="G48" s="38">
        <v>12.882546663299999</v>
      </c>
      <c r="H48" s="38">
        <v>12.882546663299999</v>
      </c>
      <c r="I48" s="38">
        <v>13.341166918800001</v>
      </c>
      <c r="J48" s="38">
        <v>13.341166918800001</v>
      </c>
      <c r="K48" s="38">
        <v>9.6675284691800005</v>
      </c>
      <c r="L48" s="38">
        <v>16.641830556599999</v>
      </c>
      <c r="M48" s="38">
        <v>-13.8273784343</v>
      </c>
      <c r="N48" s="38">
        <v>-13.8273784343</v>
      </c>
      <c r="O48" s="38">
        <v>-9.62239361428</v>
      </c>
      <c r="P48" s="38"/>
      <c r="Q48" s="39">
        <v>-53.9806297055</v>
      </c>
      <c r="R48" s="39"/>
      <c r="S48" s="39">
        <v>17.9470763978</v>
      </c>
      <c r="T48" s="39"/>
      <c r="U48" s="39">
        <v>-32.965442373800002</v>
      </c>
      <c r="V48" s="39"/>
      <c r="W48" s="39"/>
      <c r="X48" s="39"/>
      <c r="Y48" s="40"/>
    </row>
    <row r="49" spans="1:25" x14ac:dyDescent="0.45">
      <c r="A49" s="21" t="s">
        <v>55</v>
      </c>
      <c r="B49" s="41">
        <v>2.5693293136599999</v>
      </c>
      <c r="C49" s="41">
        <v>4.6237174553099996</v>
      </c>
      <c r="D49" s="41">
        <v>6.3053125612200001</v>
      </c>
      <c r="E49" s="41">
        <v>7.0841140004999996</v>
      </c>
      <c r="F49" s="41">
        <v>8.5064150131599998</v>
      </c>
      <c r="G49" s="41">
        <v>12.507813126</v>
      </c>
      <c r="H49" s="41">
        <v>12.507813126</v>
      </c>
      <c r="I49" s="41">
        <v>9.7965468090800005</v>
      </c>
      <c r="J49" s="41">
        <v>10.0253627792</v>
      </c>
      <c r="K49" s="41">
        <v>9.9104580565599996</v>
      </c>
      <c r="L49" s="41">
        <v>10.099877082500001</v>
      </c>
      <c r="M49" s="41">
        <v>13.4850029001</v>
      </c>
      <c r="N49" s="41">
        <v>13.4850029001</v>
      </c>
      <c r="O49" s="41">
        <v>13.255204089999999</v>
      </c>
      <c r="P49" s="41"/>
      <c r="Q49" s="42">
        <v>16.722999999999999</v>
      </c>
      <c r="R49" s="42"/>
      <c r="S49" s="42">
        <v>17.946999999999999</v>
      </c>
      <c r="T49" s="42"/>
      <c r="U49" s="42">
        <v>20.152999999999999</v>
      </c>
      <c r="V49" s="42"/>
      <c r="W49" s="42">
        <v>20.63</v>
      </c>
      <c r="X49" s="42"/>
      <c r="Y49" s="43">
        <v>21.98</v>
      </c>
    </row>
    <row r="50" spans="1:25" x14ac:dyDescent="0.45">
      <c r="A50" s="37" t="s">
        <v>45</v>
      </c>
      <c r="B50" s="38">
        <v>80.899581200699998</v>
      </c>
      <c r="C50" s="38">
        <v>79.958148250099995</v>
      </c>
      <c r="D50" s="38">
        <v>36.3688984494</v>
      </c>
      <c r="E50" s="38">
        <v>12.3515120261</v>
      </c>
      <c r="F50" s="38">
        <v>20.0773309486</v>
      </c>
      <c r="G50" s="38">
        <v>47.039770651300003</v>
      </c>
      <c r="H50" s="38">
        <v>47.039770651300003</v>
      </c>
      <c r="I50" s="38">
        <v>-21.676581586299999</v>
      </c>
      <c r="J50" s="38">
        <v>-19.8471972822</v>
      </c>
      <c r="K50" s="38">
        <v>-1.14614029607</v>
      </c>
      <c r="L50" s="38">
        <v>0.74325792433799998</v>
      </c>
      <c r="M50" s="38">
        <v>33.516505101500002</v>
      </c>
      <c r="N50" s="38">
        <v>33.516505101500002</v>
      </c>
      <c r="O50" s="38">
        <v>-1.7041064937299999</v>
      </c>
      <c r="P50" s="38"/>
      <c r="Q50" s="39">
        <v>26.1617692678</v>
      </c>
      <c r="R50" s="39"/>
      <c r="S50" s="39">
        <v>7.3192608981599996</v>
      </c>
      <c r="T50" s="39"/>
      <c r="U50" s="39">
        <v>12.291747924399999</v>
      </c>
      <c r="V50" s="39"/>
      <c r="W50" s="39">
        <v>2.36689326651</v>
      </c>
      <c r="X50" s="39"/>
      <c r="Y50" s="40">
        <v>6.54386815318</v>
      </c>
    </row>
    <row r="51" spans="1:25" x14ac:dyDescent="0.45">
      <c r="A51" s="21" t="s">
        <v>56</v>
      </c>
      <c r="B51" s="41">
        <v>0</v>
      </c>
      <c r="C51" s="41">
        <v>0</v>
      </c>
      <c r="D51" s="41">
        <v>0.37858000000000003</v>
      </c>
      <c r="E51" s="41">
        <v>1.6286</v>
      </c>
      <c r="F51" s="41">
        <v>1.8114600000000001</v>
      </c>
      <c r="G51" s="41">
        <v>1.98</v>
      </c>
      <c r="H51" s="41">
        <v>1.98</v>
      </c>
      <c r="I51" s="41">
        <v>2.1800000000000002</v>
      </c>
      <c r="J51" s="41">
        <v>2.1800000000000002</v>
      </c>
      <c r="K51" s="41">
        <v>2.4</v>
      </c>
      <c r="L51" s="41">
        <v>2.4</v>
      </c>
      <c r="M51" s="41">
        <v>2.72</v>
      </c>
      <c r="N51" s="41">
        <v>2.72</v>
      </c>
      <c r="O51" s="41">
        <v>3</v>
      </c>
      <c r="P51" s="41">
        <v>3.04</v>
      </c>
      <c r="Q51" s="42">
        <v>3.2040000000000002</v>
      </c>
      <c r="R51" s="42">
        <v>3.26493527959</v>
      </c>
      <c r="S51" s="42">
        <v>3.4369999999999998</v>
      </c>
      <c r="T51" s="42">
        <v>3.5037945205500001</v>
      </c>
      <c r="U51" s="42">
        <v>3.702</v>
      </c>
      <c r="V51" s="42">
        <v>3.6485643835600001</v>
      </c>
      <c r="W51" s="42">
        <v>3.49</v>
      </c>
      <c r="X51" s="42">
        <v>3.5152467999099999</v>
      </c>
      <c r="Y51" s="43">
        <v>3.6</v>
      </c>
    </row>
    <row r="52" spans="1:25" x14ac:dyDescent="0.45">
      <c r="A52" s="37" t="s">
        <v>45</v>
      </c>
      <c r="B52" s="38"/>
      <c r="C52" s="38"/>
      <c r="D52" s="38"/>
      <c r="E52" s="38">
        <v>330.186486344</v>
      </c>
      <c r="F52" s="38">
        <v>11.2280486307</v>
      </c>
      <c r="G52" s="38">
        <v>9.3040972475199997</v>
      </c>
      <c r="H52" s="38">
        <v>9.3040972475199997</v>
      </c>
      <c r="I52" s="38">
        <v>10.101010101</v>
      </c>
      <c r="J52" s="38">
        <v>10.101010101</v>
      </c>
      <c r="K52" s="38">
        <v>10.0917431193</v>
      </c>
      <c r="L52" s="38">
        <v>10.0917431193</v>
      </c>
      <c r="M52" s="38">
        <v>13.333333333300001</v>
      </c>
      <c r="N52" s="38">
        <v>13.333333333300001</v>
      </c>
      <c r="O52" s="38">
        <v>10.2941176471</v>
      </c>
      <c r="P52" s="38"/>
      <c r="Q52" s="39">
        <v>6.8</v>
      </c>
      <c r="R52" s="39">
        <v>7.3991868286200004</v>
      </c>
      <c r="S52" s="39">
        <v>7.2721598002499999</v>
      </c>
      <c r="T52" s="39">
        <v>7.31589512519</v>
      </c>
      <c r="U52" s="39">
        <v>7.7102123945300001</v>
      </c>
      <c r="V52" s="39">
        <v>4.1318023120599996</v>
      </c>
      <c r="W52" s="39">
        <v>-5.7266342517600002</v>
      </c>
      <c r="X52" s="39">
        <v>-3.65397371774</v>
      </c>
      <c r="Y52" s="40">
        <v>3.1518624641800002</v>
      </c>
    </row>
    <row r="53" spans="1:25" x14ac:dyDescent="0.45">
      <c r="A53" s="21" t="s">
        <v>57</v>
      </c>
      <c r="B53" s="34">
        <v>35.283453563499997</v>
      </c>
      <c r="C53" s="34">
        <v>41.6732311946</v>
      </c>
      <c r="D53" s="34">
        <v>42.841524444999997</v>
      </c>
      <c r="E53" s="34">
        <v>30.639603903099999</v>
      </c>
      <c r="F53" s="34">
        <v>33.6118011366</v>
      </c>
      <c r="G53" s="34">
        <v>46.2481918736</v>
      </c>
      <c r="H53" s="34">
        <v>46.2481918736</v>
      </c>
      <c r="I53" s="34">
        <v>36.903281045500002</v>
      </c>
      <c r="J53" s="34">
        <v>36.903281045500002</v>
      </c>
      <c r="K53" s="34">
        <v>36.867508463699998</v>
      </c>
      <c r="L53" s="34">
        <v>36.867508463699998</v>
      </c>
      <c r="M53" s="34">
        <v>49.363582842</v>
      </c>
      <c r="N53" s="34">
        <v>49.363582842</v>
      </c>
      <c r="O53" s="34">
        <v>55.917221140000002</v>
      </c>
      <c r="P53" s="34">
        <v>64.253722174399996</v>
      </c>
      <c r="Q53" s="44">
        <v>72.522346006500001</v>
      </c>
      <c r="R53" s="44">
        <v>62.002988709100002</v>
      </c>
      <c r="S53" s="44">
        <v>99.370560752299994</v>
      </c>
      <c r="T53" s="44">
        <v>126.086845806</v>
      </c>
      <c r="U53" s="44">
        <v>144.396050127</v>
      </c>
      <c r="V53" s="44"/>
      <c r="W53" s="44"/>
      <c r="X53" s="44"/>
      <c r="Y53" s="45"/>
    </row>
    <row r="54" spans="1:25" x14ac:dyDescent="0.45">
      <c r="A54" s="21" t="s">
        <v>58</v>
      </c>
      <c r="B54" s="34">
        <v>23.1279605209</v>
      </c>
      <c r="C54" s="34">
        <v>27.325578330999999</v>
      </c>
      <c r="D54" s="34">
        <v>28.695490738099998</v>
      </c>
      <c r="E54" s="34">
        <v>19.377251336099999</v>
      </c>
      <c r="F54" s="34">
        <v>18.0066037886</v>
      </c>
      <c r="G54" s="34">
        <v>20.5373781899</v>
      </c>
      <c r="H54" s="34">
        <v>20.5426721941</v>
      </c>
      <c r="I54" s="34">
        <v>15.0397498148</v>
      </c>
      <c r="J54" s="34">
        <v>15.0397498148</v>
      </c>
      <c r="K54" s="34">
        <v>13.916499849599999</v>
      </c>
      <c r="L54" s="34">
        <v>14.3870956224</v>
      </c>
      <c r="M54" s="34">
        <v>17.226077986300002</v>
      </c>
      <c r="N54" s="34">
        <v>17.226077986300002</v>
      </c>
      <c r="O54" s="34">
        <v>17.0000938365</v>
      </c>
      <c r="P54" s="34">
        <v>16.8890076273</v>
      </c>
      <c r="Q54" s="44">
        <v>18.4411623154</v>
      </c>
      <c r="R54" s="44"/>
      <c r="S54" s="44">
        <v>20.8280027755</v>
      </c>
      <c r="T54" s="44"/>
      <c r="U54" s="44">
        <v>23.8073770512</v>
      </c>
      <c r="V54" s="44"/>
      <c r="W54" s="44"/>
      <c r="X54" s="44"/>
      <c r="Y54" s="45"/>
    </row>
    <row r="55" spans="1:25" ht="14.65" thickBot="1" x14ac:dyDescent="0.5">
      <c r="A55" s="46" t="s">
        <v>59</v>
      </c>
      <c r="B55" s="47">
        <v>44.551480757299998</v>
      </c>
      <c r="C55" s="47">
        <v>50.173231394600002</v>
      </c>
      <c r="D55" s="47">
        <v>45.027085341800003</v>
      </c>
      <c r="E55" s="47">
        <v>22.684991057400001</v>
      </c>
      <c r="F55" s="47">
        <v>22.518383806399999</v>
      </c>
      <c r="G55" s="47">
        <v>29.8788129076</v>
      </c>
      <c r="H55" s="47">
        <v>29.8930736517</v>
      </c>
      <c r="I55" s="47">
        <v>19.792461467999999</v>
      </c>
      <c r="J55" s="47">
        <v>19.792461467999999</v>
      </c>
      <c r="K55" s="47">
        <v>17.710124630999999</v>
      </c>
      <c r="L55" s="47">
        <v>17.710124630999999</v>
      </c>
      <c r="M55" s="47">
        <v>22.828714850400001</v>
      </c>
      <c r="N55" s="47">
        <v>22.828714850400001</v>
      </c>
      <c r="O55" s="47">
        <v>25.1184863069</v>
      </c>
      <c r="P55" s="47">
        <v>28.261647462999999</v>
      </c>
      <c r="Q55" s="48"/>
      <c r="R55" s="48"/>
      <c r="S55" s="48"/>
      <c r="T55" s="48"/>
      <c r="U55" s="48"/>
      <c r="V55" s="48"/>
      <c r="W55" s="48"/>
      <c r="X55" s="48"/>
      <c r="Y55" s="49"/>
    </row>
    <row r="62" spans="1:25" x14ac:dyDescent="0.45">
      <c r="A62" s="82" t="s">
        <v>90</v>
      </c>
      <c r="B62" s="82"/>
      <c r="N62" s="56" t="s">
        <v>114</v>
      </c>
    </row>
    <row r="63" spans="1:25" x14ac:dyDescent="0.45">
      <c r="A63" s="89" t="s">
        <v>91</v>
      </c>
      <c r="B63" s="89"/>
      <c r="C63" s="89"/>
      <c r="D63" s="89"/>
      <c r="E63" s="89"/>
      <c r="F63" s="89"/>
      <c r="N63" s="90" t="s">
        <v>115</v>
      </c>
      <c r="O63" s="56" t="str">
        <f>Q1</f>
        <v>FY2020E</v>
      </c>
      <c r="P63" s="56" t="str">
        <f>S1</f>
        <v>FY2021E</v>
      </c>
      <c r="Q63" s="56" t="str">
        <f>U1</f>
        <v>FY2022E</v>
      </c>
      <c r="R63" s="56" t="str">
        <f>W1</f>
        <v>FY2023E</v>
      </c>
      <c r="S63" s="56" t="str">
        <f>Y1</f>
        <v>FY2024E</v>
      </c>
      <c r="T63" s="56" t="s">
        <v>121</v>
      </c>
    </row>
    <row r="64" spans="1:25" x14ac:dyDescent="0.45">
      <c r="A64" s="78" t="s">
        <v>92</v>
      </c>
      <c r="B64" s="82"/>
      <c r="N64" s="88" t="s">
        <v>116</v>
      </c>
      <c r="O64" s="42">
        <f>Q49</f>
        <v>16.722999999999999</v>
      </c>
      <c r="P64" s="42">
        <f>S49</f>
        <v>17.946999999999999</v>
      </c>
      <c r="Q64" s="42">
        <f>U49</f>
        <v>20.152999999999999</v>
      </c>
      <c r="R64" s="42">
        <f>W49</f>
        <v>20.63</v>
      </c>
      <c r="S64" s="42">
        <f>Y49</f>
        <v>21.98</v>
      </c>
    </row>
    <row r="65" spans="1:20" x14ac:dyDescent="0.45">
      <c r="A65" s="78" t="s">
        <v>93</v>
      </c>
      <c r="B65" s="82"/>
      <c r="N65" t="s">
        <v>118</v>
      </c>
      <c r="O65" s="64">
        <v>4375500000</v>
      </c>
      <c r="P65" s="64">
        <v>4375500000</v>
      </c>
      <c r="Q65" s="64">
        <v>4375500000</v>
      </c>
      <c r="R65" s="64">
        <v>4375500000</v>
      </c>
      <c r="S65" s="64">
        <v>4375500000</v>
      </c>
    </row>
    <row r="66" spans="1:20" x14ac:dyDescent="0.45">
      <c r="A66" s="79" t="s">
        <v>108</v>
      </c>
      <c r="B66" s="81">
        <v>1274000000000</v>
      </c>
      <c r="N66" t="s">
        <v>122</v>
      </c>
      <c r="O66" s="65">
        <f>O64*O65</f>
        <v>73171486500</v>
      </c>
      <c r="P66" s="65">
        <f t="shared" ref="P66:S66" si="0">P64*P65</f>
        <v>78527098500</v>
      </c>
      <c r="Q66" s="65">
        <f t="shared" si="0"/>
        <v>88179451500</v>
      </c>
      <c r="R66" s="65">
        <f t="shared" si="0"/>
        <v>90266565000</v>
      </c>
      <c r="S66" s="65">
        <f t="shared" si="0"/>
        <v>96173490000</v>
      </c>
      <c r="T66" s="65">
        <f>S66/($O$73-$O$74)</f>
        <v>1304699159572.6582</v>
      </c>
    </row>
    <row r="67" spans="1:20" x14ac:dyDescent="0.45">
      <c r="A67" s="79" t="s">
        <v>94</v>
      </c>
      <c r="B67" s="81">
        <v>118761000000</v>
      </c>
      <c r="N67" s="88" t="s">
        <v>117</v>
      </c>
      <c r="O67" s="59">
        <f>B93</f>
        <v>9.3713153943856847E-2</v>
      </c>
      <c r="P67" s="59">
        <v>9.3713153943856847E-2</v>
      </c>
      <c r="Q67" s="59">
        <v>9.3713153943856847E-2</v>
      </c>
      <c r="R67" s="59">
        <v>9.3713153943856847E-2</v>
      </c>
      <c r="S67" s="59">
        <v>9.3713153943856847E-2</v>
      </c>
      <c r="T67" s="65"/>
    </row>
    <row r="68" spans="1:20" x14ac:dyDescent="0.45">
      <c r="A68" s="82"/>
      <c r="B68" s="82"/>
      <c r="N68" s="88" t="s">
        <v>123</v>
      </c>
      <c r="O68" s="65">
        <f>O66*(1-O67)</f>
        <v>66314355721.324661</v>
      </c>
      <c r="P68" s="65">
        <f>P66*(1-P67)^2</f>
        <v>64498691527.178711</v>
      </c>
      <c r="Q68" s="65">
        <f>Q66*(1-Q67)^3</f>
        <v>65639372858.042664</v>
      </c>
      <c r="R68" s="65">
        <f>R66*(1-R67)^4</f>
        <v>60896120042.737244</v>
      </c>
      <c r="S68" s="65">
        <f>S66*(1-S67)^5</f>
        <v>58800871037.398834</v>
      </c>
      <c r="T68" s="65">
        <f>S68/($O$73-$O$74)</f>
        <v>797698482447.02905</v>
      </c>
    </row>
    <row r="69" spans="1:20" x14ac:dyDescent="0.45">
      <c r="A69" s="78" t="s">
        <v>96</v>
      </c>
      <c r="B69" s="83">
        <v>89086</v>
      </c>
    </row>
    <row r="70" spans="1:20" x14ac:dyDescent="0.45">
      <c r="A70" s="78" t="s">
        <v>95</v>
      </c>
      <c r="B70" s="84">
        <v>78425000000</v>
      </c>
    </row>
    <row r="71" spans="1:20" x14ac:dyDescent="0.45">
      <c r="A71" s="79" t="s">
        <v>97</v>
      </c>
      <c r="B71" s="81">
        <f>SUM(B69:B70)</f>
        <v>78425089086</v>
      </c>
    </row>
    <row r="72" spans="1:20" x14ac:dyDescent="0.45">
      <c r="A72" s="82"/>
      <c r="B72" s="82"/>
    </row>
    <row r="73" spans="1:20" x14ac:dyDescent="0.45">
      <c r="A73" s="82"/>
      <c r="B73" s="82"/>
      <c r="N73" s="86" t="s">
        <v>90</v>
      </c>
      <c r="O73" s="86">
        <f>B93</f>
        <v>9.3713153943856847E-2</v>
      </c>
    </row>
    <row r="74" spans="1:20" x14ac:dyDescent="0.45">
      <c r="A74" s="79" t="s">
        <v>100</v>
      </c>
      <c r="B74" s="85">
        <v>6.4000000000000003E-3</v>
      </c>
      <c r="N74" s="86" t="s">
        <v>120</v>
      </c>
      <c r="O74" s="86">
        <v>0.02</v>
      </c>
    </row>
    <row r="75" spans="1:20" x14ac:dyDescent="0.45">
      <c r="A75" s="78" t="s">
        <v>105</v>
      </c>
      <c r="B75" s="82">
        <v>1.171</v>
      </c>
    </row>
    <row r="76" spans="1:20" x14ac:dyDescent="0.45">
      <c r="A76" s="78" t="s">
        <v>104</v>
      </c>
      <c r="B76" s="87">
        <v>1.17</v>
      </c>
    </row>
    <row r="77" spans="1:20" x14ac:dyDescent="0.45">
      <c r="A77" s="78" t="s">
        <v>106</v>
      </c>
      <c r="B77" s="87">
        <v>1.17</v>
      </c>
      <c r="H77" s="80" t="s">
        <v>103</v>
      </c>
      <c r="I77" s="80"/>
      <c r="J77" s="80"/>
      <c r="K77" s="80"/>
      <c r="L77" s="80"/>
      <c r="M77" s="80"/>
    </row>
    <row r="78" spans="1:20" x14ac:dyDescent="0.45">
      <c r="A78" s="79" t="s">
        <v>101</v>
      </c>
      <c r="B78" s="87">
        <f>AVERAGE(B75:B77)</f>
        <v>1.1703333333333334</v>
      </c>
      <c r="N78" s="86" t="s">
        <v>119</v>
      </c>
      <c r="O78" s="81">
        <f>SUM(O68:T68)</f>
        <v>1113847893633.7112</v>
      </c>
    </row>
    <row r="79" spans="1:20" x14ac:dyDescent="0.45">
      <c r="A79" s="78" t="s">
        <v>102</v>
      </c>
      <c r="B79" s="82"/>
      <c r="N79" s="85" t="s">
        <v>124</v>
      </c>
      <c r="O79" s="91">
        <f>B67</f>
        <v>118761000000</v>
      </c>
    </row>
    <row r="80" spans="1:20" x14ac:dyDescent="0.45">
      <c r="A80" s="78" t="s">
        <v>107</v>
      </c>
      <c r="B80" s="85">
        <f>B74+B78*B79</f>
        <v>6.4000000000000003E-3</v>
      </c>
      <c r="N80" s="85" t="s">
        <v>125</v>
      </c>
      <c r="O80" s="91">
        <f>O13*1000000</f>
        <v>100557000000</v>
      </c>
    </row>
    <row r="81" spans="1:16" x14ac:dyDescent="0.45">
      <c r="A81" s="82"/>
      <c r="B81" s="82"/>
      <c r="N81" s="86" t="s">
        <v>128</v>
      </c>
      <c r="O81" s="81">
        <f>O78-O79+O80</f>
        <v>1095643893633.7112</v>
      </c>
    </row>
    <row r="82" spans="1:16" x14ac:dyDescent="0.45">
      <c r="A82" s="79" t="s">
        <v>98</v>
      </c>
      <c r="B82" s="86">
        <v>0.1</v>
      </c>
      <c r="N82" s="86" t="s">
        <v>126</v>
      </c>
      <c r="O82" s="81">
        <f>O65</f>
        <v>4375500000</v>
      </c>
    </row>
    <row r="83" spans="1:16" x14ac:dyDescent="0.45">
      <c r="A83" s="79" t="s">
        <v>99</v>
      </c>
      <c r="B83" s="86">
        <v>3.1E-2</v>
      </c>
      <c r="N83" s="86" t="s">
        <v>127</v>
      </c>
      <c r="O83" s="92">
        <f>O81/O82</f>
        <v>250.40427234229486</v>
      </c>
    </row>
    <row r="84" spans="1:16" x14ac:dyDescent="0.45">
      <c r="A84" s="82"/>
      <c r="B84" s="82"/>
      <c r="N84" s="86" t="s">
        <v>129</v>
      </c>
      <c r="O84" s="92">
        <v>289.07</v>
      </c>
    </row>
    <row r="85" spans="1:16" ht="27.75" x14ac:dyDescent="0.45">
      <c r="A85" s="78" t="s">
        <v>109</v>
      </c>
      <c r="B85" s="87">
        <f>$B$66/(SUM($B$66:$B$67))</f>
        <v>0.91472980647792401</v>
      </c>
    </row>
    <row r="86" spans="1:16" ht="41.65" x14ac:dyDescent="0.45">
      <c r="A86" s="79" t="s">
        <v>110</v>
      </c>
      <c r="B86" s="87">
        <f>B85*B82</f>
        <v>9.1472980647792412E-2</v>
      </c>
      <c r="N86" s="94" t="s">
        <v>130</v>
      </c>
      <c r="O86" s="93">
        <f>(O84-O83)/O83</f>
        <v>0.15441321066938621</v>
      </c>
      <c r="P86" s="94" t="str">
        <f>IF(O84&gt;O83,"OVERVALUED",IF(O84=O83,"ACCEPTABLE VALUE","UNDERVALUED"))</f>
        <v>OVERVALUED</v>
      </c>
    </row>
    <row r="87" spans="1:16" ht="27.75" x14ac:dyDescent="0.45">
      <c r="A87" s="78" t="s">
        <v>109</v>
      </c>
      <c r="B87" s="87">
        <f>$B$67/(SUM($B$66:$B$67))</f>
        <v>8.5270193522075932E-2</v>
      </c>
      <c r="N87" s="94" t="s">
        <v>131</v>
      </c>
      <c r="O87" s="94" t="str">
        <f>IF(P86="OVERVALUED", "SELL",IF(P86="ACCEPTABLE VALUE", "HOLD", "SELL"))</f>
        <v>SELL</v>
      </c>
    </row>
    <row r="88" spans="1:16" ht="41.65" x14ac:dyDescent="0.45">
      <c r="A88" s="79" t="s">
        <v>111</v>
      </c>
      <c r="B88" s="87">
        <f>B86*B83</f>
        <v>2.8356624000815647E-3</v>
      </c>
    </row>
    <row r="89" spans="1:16" x14ac:dyDescent="0.45">
      <c r="A89" s="82"/>
      <c r="B89" s="82"/>
    </row>
    <row r="90" spans="1:16" x14ac:dyDescent="0.45">
      <c r="A90" s="78" t="s">
        <v>112</v>
      </c>
      <c r="B90" s="85">
        <v>0.21</v>
      </c>
    </row>
    <row r="91" spans="1:16" x14ac:dyDescent="0.45">
      <c r="A91" s="79" t="s">
        <v>113</v>
      </c>
      <c r="B91" s="86">
        <f>1-B90</f>
        <v>0.79</v>
      </c>
    </row>
    <row r="92" spans="1:16" x14ac:dyDescent="0.45">
      <c r="A92" s="82"/>
      <c r="B92" s="82"/>
    </row>
    <row r="93" spans="1:16" x14ac:dyDescent="0.45">
      <c r="A93" s="78" t="s">
        <v>90</v>
      </c>
      <c r="B93" s="85">
        <f>B86+B88*B91</f>
        <v>9.3713153943856847E-2</v>
      </c>
    </row>
  </sheetData>
  <mergeCells count="2">
    <mergeCell ref="H77:M77"/>
    <mergeCell ref="A63:F63"/>
  </mergeCells>
  <conditionalFormatting sqref="P86">
    <cfRule type="containsText" dxfId="0" priority="3" operator="containsText" text="OVERVALUED">
      <formula>NOT(ISERROR(SEARCH("OVERVALUED",P86)))</formula>
    </cfRule>
    <cfRule type="containsText" dxfId="1" priority="2" operator="containsText" text="ACCEPTABLE VALUE">
      <formula>NOT(ISERROR(SEARCH("ACCEPTABLE VALUE",P86)))</formula>
    </cfRule>
    <cfRule type="containsText" dxfId="2" priority="1" operator="containsText" text="UNDERVALUED">
      <formula>NOT(ISERROR(SEARCH("UNDERVALUED",P86)))</formula>
    </cfRule>
  </conditionalFormatting>
  <pageMargins left="0.75" right="0.75" top="1" bottom="1" header="0.5" footer="0.5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0AFD5-830E-4A31-B175-8570D7073F43}">
  <dimension ref="A1:E29"/>
  <sheetViews>
    <sheetView topLeftCell="A17" workbookViewId="0">
      <selection activeCell="C37" sqref="C37"/>
    </sheetView>
  </sheetViews>
  <sheetFormatPr defaultRowHeight="14.25" x14ac:dyDescent="0.45"/>
  <cols>
    <col min="1" max="1" width="52.3984375" customWidth="1"/>
    <col min="2" max="2" width="37" bestFit="1" customWidth="1"/>
    <col min="3" max="3" width="37" customWidth="1"/>
    <col min="4" max="4" width="27.73046875" customWidth="1"/>
    <col min="5" max="5" width="24.6640625" customWidth="1"/>
  </cols>
  <sheetData>
    <row r="1" spans="1:5" x14ac:dyDescent="0.45">
      <c r="A1" t="s">
        <v>63</v>
      </c>
    </row>
    <row r="3" spans="1:5" x14ac:dyDescent="0.45">
      <c r="A3" s="50" t="s">
        <v>60</v>
      </c>
      <c r="B3" s="51" t="s">
        <v>66</v>
      </c>
      <c r="C3" s="51" t="s">
        <v>67</v>
      </c>
      <c r="D3" s="51" t="s">
        <v>64</v>
      </c>
      <c r="E3" s="51" t="s">
        <v>65</v>
      </c>
    </row>
    <row r="4" spans="1:5" x14ac:dyDescent="0.45">
      <c r="A4" s="52" t="s">
        <v>68</v>
      </c>
      <c r="B4" s="67">
        <v>12960700000</v>
      </c>
      <c r="C4" s="66">
        <v>0.9</v>
      </c>
      <c r="D4" s="66">
        <v>4.8</v>
      </c>
      <c r="E4" s="66">
        <v>9.5</v>
      </c>
    </row>
    <row r="5" spans="1:5" x14ac:dyDescent="0.45">
      <c r="A5" s="52" t="s">
        <v>69</v>
      </c>
      <c r="B5" s="67">
        <v>22175600000</v>
      </c>
      <c r="C5" s="66">
        <v>0.4</v>
      </c>
      <c r="D5" s="66">
        <v>4.5999999999999996</v>
      </c>
      <c r="E5" s="66">
        <v>5.4</v>
      </c>
    </row>
    <row r="6" spans="1:5" x14ac:dyDescent="0.45">
      <c r="A6" s="52" t="s">
        <v>70</v>
      </c>
      <c r="B6" s="67">
        <v>31568100000</v>
      </c>
      <c r="C6" s="66">
        <v>0.9</v>
      </c>
      <c r="D6" s="66">
        <v>8.4</v>
      </c>
      <c r="E6" s="66">
        <v>25</v>
      </c>
    </row>
    <row r="7" spans="1:5" x14ac:dyDescent="0.45">
      <c r="A7" s="52" t="s">
        <v>71</v>
      </c>
      <c r="B7" s="67">
        <v>13774800000</v>
      </c>
      <c r="C7" s="66">
        <v>1.3</v>
      </c>
      <c r="D7" s="66">
        <v>15.2</v>
      </c>
      <c r="E7" s="66" t="s">
        <v>78</v>
      </c>
    </row>
    <row r="8" spans="1:5" x14ac:dyDescent="0.45">
      <c r="A8" s="52" t="s">
        <v>72</v>
      </c>
      <c r="B8" s="67">
        <v>333256090600000</v>
      </c>
      <c r="C8" s="66">
        <v>1</v>
      </c>
      <c r="D8" s="66">
        <v>4.0999999999999996</v>
      </c>
      <c r="E8" s="66">
        <v>8.3000000000000007</v>
      </c>
    </row>
    <row r="9" spans="1:5" x14ac:dyDescent="0.45">
      <c r="A9" s="52" t="s">
        <v>73</v>
      </c>
      <c r="B9" s="67">
        <v>1359028300000</v>
      </c>
      <c r="C9" s="66">
        <v>9.4</v>
      </c>
      <c r="D9" s="66">
        <v>19.8</v>
      </c>
      <c r="E9" s="66">
        <v>25.1</v>
      </c>
    </row>
    <row r="10" spans="1:5" x14ac:dyDescent="0.45">
      <c r="A10" s="52" t="s">
        <v>74</v>
      </c>
      <c r="B10" s="67">
        <v>20200000</v>
      </c>
      <c r="C10" s="66">
        <v>0.2</v>
      </c>
      <c r="D10" s="66" t="s">
        <v>78</v>
      </c>
      <c r="E10" s="66" t="s">
        <v>78</v>
      </c>
    </row>
    <row r="11" spans="1:5" x14ac:dyDescent="0.45">
      <c r="A11" s="52" t="s">
        <v>79</v>
      </c>
      <c r="B11" s="67">
        <v>18687100000</v>
      </c>
      <c r="C11" s="69">
        <v>0.8</v>
      </c>
      <c r="D11" s="66">
        <v>5.8</v>
      </c>
      <c r="E11" s="66">
        <v>11.9</v>
      </c>
    </row>
    <row r="12" spans="1:5" x14ac:dyDescent="0.45">
      <c r="A12" s="52" t="s">
        <v>75</v>
      </c>
      <c r="B12" s="67">
        <v>9680900000</v>
      </c>
      <c r="C12" s="66">
        <v>1.5</v>
      </c>
      <c r="D12" s="66">
        <v>7.4</v>
      </c>
      <c r="E12" s="66">
        <v>9</v>
      </c>
    </row>
    <row r="13" spans="1:5" x14ac:dyDescent="0.45">
      <c r="A13" s="52" t="s">
        <v>76</v>
      </c>
      <c r="B13" s="67">
        <v>88498100000</v>
      </c>
      <c r="C13" s="66">
        <v>3.8</v>
      </c>
      <c r="D13" s="66">
        <v>9.8000000000000007</v>
      </c>
      <c r="E13" s="66">
        <v>11.5</v>
      </c>
    </row>
    <row r="14" spans="1:5" x14ac:dyDescent="0.45">
      <c r="A14" s="52" t="s">
        <v>77</v>
      </c>
      <c r="B14" s="67">
        <v>3845200000</v>
      </c>
      <c r="C14" s="66">
        <v>1.9</v>
      </c>
      <c r="D14" s="66" t="s">
        <v>78</v>
      </c>
      <c r="E14" s="66" t="s">
        <v>78</v>
      </c>
    </row>
    <row r="17" spans="1:5" x14ac:dyDescent="0.45">
      <c r="A17" s="70" t="s">
        <v>85</v>
      </c>
      <c r="B17" s="72">
        <v>1265000000000</v>
      </c>
      <c r="C17" s="73">
        <v>262621600000</v>
      </c>
      <c r="D17" s="73">
        <v>73979100000</v>
      </c>
      <c r="E17" s="73">
        <v>62143340000</v>
      </c>
    </row>
    <row r="18" spans="1:5" x14ac:dyDescent="0.45">
      <c r="A18" s="54" t="s">
        <v>61</v>
      </c>
      <c r="B18" s="54"/>
      <c r="C18" s="54"/>
      <c r="D18" s="54"/>
      <c r="E18" s="54"/>
    </row>
    <row r="19" spans="1:5" x14ac:dyDescent="0.45">
      <c r="A19" t="s">
        <v>84</v>
      </c>
      <c r="B19" s="68">
        <v>1275000000000</v>
      </c>
      <c r="C19" s="66">
        <v>4.8</v>
      </c>
      <c r="D19" s="66">
        <v>16.600000000000001</v>
      </c>
      <c r="E19" s="66">
        <v>19.600000000000001</v>
      </c>
    </row>
    <row r="20" spans="1:5" x14ac:dyDescent="0.45">
      <c r="A20" t="s">
        <v>62</v>
      </c>
      <c r="B20" s="55"/>
      <c r="C20" s="55">
        <f t="shared" ref="C20:D20" si="0">AVERAGE(C4:C14)</f>
        <v>2.0090909090909088</v>
      </c>
      <c r="D20" s="55">
        <f t="shared" si="0"/>
        <v>8.8777777777777782</v>
      </c>
      <c r="E20" s="55">
        <f>AVERAGE(E4:E14)</f>
        <v>13.212500000000002</v>
      </c>
    </row>
    <row r="21" spans="1:5" x14ac:dyDescent="0.45">
      <c r="B21" s="55"/>
      <c r="C21" s="55">
        <f t="shared" ref="C21:D21" si="1">GEOMEAN(C3:C14)</f>
        <v>1.1913329411743891</v>
      </c>
      <c r="D21" s="55">
        <f t="shared" si="1"/>
        <v>7.7099356489960105</v>
      </c>
      <c r="E21" s="55">
        <f>GEOMEAN(E3:E14)</f>
        <v>11.605452071421123</v>
      </c>
    </row>
    <row r="22" spans="1:5" x14ac:dyDescent="0.45">
      <c r="A22" s="75" t="s">
        <v>80</v>
      </c>
      <c r="B22" s="76"/>
      <c r="C22" s="51" t="s">
        <v>81</v>
      </c>
      <c r="D22" s="51" t="s">
        <v>82</v>
      </c>
      <c r="E22" s="51" t="s">
        <v>83</v>
      </c>
    </row>
    <row r="23" spans="1:5" x14ac:dyDescent="0.45">
      <c r="A23" s="58" t="s">
        <v>86</v>
      </c>
      <c r="B23" s="74">
        <f>AVERAGE(C23:E23)</f>
        <v>1235548734666.6667</v>
      </c>
      <c r="C23" s="71">
        <f>C$19*C17</f>
        <v>1260583680000</v>
      </c>
      <c r="D23" s="71">
        <f t="shared" ref="D23:E23" si="2">D$19*D17</f>
        <v>1228053060000</v>
      </c>
      <c r="E23" s="71">
        <f t="shared" si="2"/>
        <v>1218009464000</v>
      </c>
    </row>
    <row r="24" spans="1:5" x14ac:dyDescent="0.45">
      <c r="A24" t="s">
        <v>87</v>
      </c>
      <c r="B24" s="74">
        <f>B17</f>
        <v>1265000000000</v>
      </c>
      <c r="C24" s="71"/>
      <c r="D24" s="57"/>
      <c r="E24" s="57"/>
    </row>
    <row r="25" spans="1:5" x14ac:dyDescent="0.45">
      <c r="A25" t="s">
        <v>132</v>
      </c>
      <c r="B25" s="95">
        <f>B23/'AAPL VPT'!O82</f>
        <v>282.3788674818116</v>
      </c>
    </row>
    <row r="26" spans="1:5" x14ac:dyDescent="0.45">
      <c r="A26" t="s">
        <v>133</v>
      </c>
      <c r="B26" s="95">
        <f>B24/'AAPL VPT'!O82</f>
        <v>289.10981602102618</v>
      </c>
      <c r="C26" s="72"/>
      <c r="D26" s="59"/>
    </row>
    <row r="27" spans="1:5" x14ac:dyDescent="0.45">
      <c r="C27" s="60"/>
      <c r="D27" s="60"/>
      <c r="E27" s="61"/>
    </row>
    <row r="28" spans="1:5" x14ac:dyDescent="0.45">
      <c r="A28" s="51" t="s">
        <v>88</v>
      </c>
      <c r="B28" s="77" t="str">
        <f>IF(B24&gt;B23*1.01,"OVERVALUED", IF(B23*1.01&gt;B24&gt;B23*0.99,"ACCEPTABLE VALUE","UNDERVALUED"))</f>
        <v>OVERVALUED</v>
      </c>
      <c r="C28" s="93">
        <f>(B26-B25)/B25</f>
        <v>2.3836587345361919E-2</v>
      </c>
      <c r="D28" s="62"/>
      <c r="E28" s="63"/>
    </row>
    <row r="29" spans="1:5" x14ac:dyDescent="0.45">
      <c r="A29" s="51" t="s">
        <v>89</v>
      </c>
      <c r="B29" s="53" t="str">
        <f>IF(B28="OVERVALUED", "SELL", IF(B28="ACCEPTABLE VALUE", "HOLD", "BUY"))</f>
        <v>SELL</v>
      </c>
    </row>
  </sheetData>
  <mergeCells count="2">
    <mergeCell ref="A18:E18"/>
    <mergeCell ref="A22:B22"/>
  </mergeCells>
  <conditionalFormatting sqref="B28">
    <cfRule type="containsText" dxfId="11" priority="4" operator="containsText" text="OVERVALUED">
      <formula>NOT(ISERROR(SEARCH("OVERVALUED",B28)))</formula>
    </cfRule>
    <cfRule type="containsText" dxfId="10" priority="5" operator="containsText" text="ACCEPTABLE VALUE">
      <formula>NOT(ISERROR(SEARCH("ACCEPTABLE VALUE",B28)))</formula>
    </cfRule>
    <cfRule type="containsText" dxfId="9" priority="6" operator="containsText" text="UNDERVALUED">
      <formula>NOT(ISERROR(SEARCH("UNDERVALUED",B28)))</formula>
    </cfRule>
  </conditionalFormatting>
  <conditionalFormatting sqref="B29">
    <cfRule type="containsText" dxfId="8" priority="1" operator="containsText" text="BUY">
      <formula>NOT(ISERROR(SEARCH("BUY",B29)))</formula>
    </cfRule>
    <cfRule type="containsText" dxfId="7" priority="2" operator="containsText" text="SELL">
      <formula>NOT(ISERROR(SEARCH("SELL",B29)))</formula>
    </cfRule>
    <cfRule type="containsText" dxfId="6" priority="3" operator="containsText" text="HOLD">
      <formula>NOT(ISERROR(SEARCH("HOLD",B29)))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AAPL VPT</vt:lpstr>
      <vt:lpstr>Comps Valuation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openpyxl;Mark Kleyner</dc:creator>
  <cp:lastModifiedBy>Mark Kleyner</cp:lastModifiedBy>
  <dcterms:created xsi:type="dcterms:W3CDTF">2020-02-06T13:44:42Z</dcterms:created>
  <dcterms:modified xsi:type="dcterms:W3CDTF">2020-05-02T09:58:43Z</dcterms:modified>
</cp:coreProperties>
</file>